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720" windowHeight="7320" tabRatio="668" activeTab="0"/>
  </bookViews>
  <sheets>
    <sheet name="Cortec" sheetId="1" r:id="rId1"/>
    <sheet name="Configurator" sheetId="2" r:id="rId2"/>
    <sheet name="Master Text" sheetId="3" r:id="rId3"/>
    <sheet name="Database" sheetId="4" state="hidden" r:id="rId4"/>
    <sheet name="Tendering" sheetId="5" r:id="rId5"/>
    <sheet name="Date Drivers" sheetId="6" state="hidden" r:id="rId6"/>
  </sheets>
  <definedNames>
    <definedName name="Contacts">#REF!</definedName>
    <definedName name="Input_Area">#REF!,#REF!,#REF!,#REF!</definedName>
    <definedName name="Input_Area1" localSheetId="2">#REF!,#REF!,#REF!,#REF!,#REF!,#REF!,#REF!,#REF!</definedName>
    <definedName name="Input_Area1">#REF!,#REF!,#REF!,#REF!,#REF!,#REF!,#REF!,#REF!</definedName>
    <definedName name="Input_Area2" localSheetId="2">#REF!,#REF!,#REF!,#REF!</definedName>
    <definedName name="Input_Area2">#REF!,#REF!,#REF!,#REF!</definedName>
    <definedName name="Nomenclature" localSheetId="2">#REF!:#REF!</definedName>
    <definedName name="Nomenclature">#REF!:#REF!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<sst xmlns="http://schemas.openxmlformats.org/spreadsheetml/2006/main" count="1728" uniqueCount="213">
  <si>
    <t xml:space="preserve"> </t>
  </si>
  <si>
    <t>A</t>
  </si>
  <si>
    <t>B</t>
  </si>
  <si>
    <t>C</t>
  </si>
  <si>
    <t>*</t>
  </si>
  <si>
    <t>M</t>
  </si>
  <si>
    <t>24 - 60 Vdc</t>
  </si>
  <si>
    <t>48 - 150 Vdc</t>
  </si>
  <si>
    <t>130 - 250 Vdc / 110 - 250 Vac</t>
  </si>
  <si>
    <t>MODBUS</t>
  </si>
  <si>
    <t>French</t>
  </si>
  <si>
    <t>English</t>
  </si>
  <si>
    <t>Spanish</t>
  </si>
  <si>
    <t>Polish</t>
  </si>
  <si>
    <t>German</t>
  </si>
  <si>
    <t>Russian</t>
  </si>
  <si>
    <t>F</t>
  </si>
  <si>
    <t>T</t>
  </si>
  <si>
    <t>U</t>
  </si>
  <si>
    <t>H</t>
  </si>
  <si>
    <t>Hardware Version</t>
  </si>
  <si>
    <t>P12</t>
  </si>
  <si>
    <t>1-3</t>
  </si>
  <si>
    <t>Earth Current Input</t>
  </si>
  <si>
    <t>0.1 to 40 Ion</t>
  </si>
  <si>
    <t>0.01 to 8 Ion</t>
  </si>
  <si>
    <t>0.002 to 1 Ion</t>
  </si>
  <si>
    <t>Auxiliary Voltage</t>
  </si>
  <si>
    <t>130 - 250 Vdc / 100 - 250 Vac</t>
  </si>
  <si>
    <t>125 - 250 Vdc / 100 - 250 Vac</t>
  </si>
  <si>
    <t>48 - 250 Vdc / 48 - 240 Vac</t>
  </si>
  <si>
    <t>Digital Input Voltage</t>
  </si>
  <si>
    <t>48 - 150 Vdc (ac immune)</t>
  </si>
  <si>
    <t>48 - 250 Vdc / 48 - 250 Vac</t>
  </si>
  <si>
    <t>V</t>
  </si>
  <si>
    <t>W</t>
  </si>
  <si>
    <t>Communication</t>
  </si>
  <si>
    <t>COURIER</t>
  </si>
  <si>
    <t>IEC60870-5-103</t>
  </si>
  <si>
    <t>DNP3</t>
  </si>
  <si>
    <t>Digital Input Voltage Table (driven by phase and auxiliary voltage)</t>
  </si>
  <si>
    <t>Italian</t>
  </si>
  <si>
    <t>D</t>
  </si>
  <si>
    <t>Software Version</t>
  </si>
  <si>
    <t>Not Applicable with Phase 1</t>
  </si>
  <si>
    <t>Major</t>
  </si>
  <si>
    <t>Options available are derived from the last version available with the specified hardware version ( i.e. using this date --------------&gt;)</t>
  </si>
  <si>
    <t>220 Vdc - 30% / +20%</t>
  </si>
  <si>
    <t>110 Vdc - 30% / +20%</t>
  </si>
  <si>
    <t>12</t>
  </si>
  <si>
    <t>13</t>
  </si>
  <si>
    <t>E</t>
  </si>
  <si>
    <t>105 - 145 Vdc (special application)</t>
  </si>
  <si>
    <t>110 Vdc -30% / +20% (special application)</t>
  </si>
  <si>
    <t>V ?.?</t>
  </si>
  <si>
    <t>?</t>
  </si>
  <si>
    <t>Portuguese</t>
  </si>
  <si>
    <t>Dutch</t>
  </si>
  <si>
    <t>Czech</t>
  </si>
  <si>
    <t>Hungarian</t>
  </si>
  <si>
    <t>Greek</t>
  </si>
  <si>
    <t>110 Vdc - 30% / +20% (special application)</t>
  </si>
  <si>
    <t>220 Vdc - 30% / +20% (special application)</t>
  </si>
  <si>
    <t>English / American</t>
  </si>
  <si>
    <t>Turkish</t>
  </si>
  <si>
    <t>V10.</t>
  </si>
  <si>
    <t>Valid Auxiliary Voltage required</t>
  </si>
  <si>
    <r>
      <t xml:space="preserve">105 - 145 Vdc (special application) - </t>
    </r>
    <r>
      <rPr>
        <sz val="10"/>
        <color indexed="10"/>
        <rFont val="Arial"/>
        <family val="2"/>
      </rPr>
      <t>not yet available!</t>
    </r>
  </si>
  <si>
    <r>
      <t xml:space="preserve">48 - 150 Vdc (ac immune) - </t>
    </r>
    <r>
      <rPr>
        <sz val="10"/>
        <color indexed="10"/>
        <rFont val="Arial"/>
        <family val="2"/>
      </rPr>
      <t>not yet available!</t>
    </r>
  </si>
  <si>
    <t>24 - 250 Vdc / 24 - 240 Vac</t>
  </si>
  <si>
    <t>Chinese</t>
  </si>
  <si>
    <t>P123</t>
  </si>
  <si>
    <t>HMI : P123</t>
  </si>
  <si>
    <t>Major : P123</t>
  </si>
  <si>
    <t>Minor: P123</t>
  </si>
  <si>
    <t>V11.</t>
  </si>
  <si>
    <t>Latest software version</t>
  </si>
  <si>
    <t>Software version</t>
  </si>
  <si>
    <t>Portuguese : not yet available</t>
  </si>
  <si>
    <t>V7.</t>
  </si>
  <si>
    <t>24 - 250 Vdc / 24 - 240 Vac (UK ENA Approved + Screws) - not yet available</t>
  </si>
  <si>
    <t>24 - 250 Vdc / 24 - 240 Vac (UK ENA Approved + Screws)</t>
  </si>
  <si>
    <t>Portuguese : not available</t>
  </si>
  <si>
    <t>Turkish : not available</t>
  </si>
  <si>
    <t>Inrush blocking ?</t>
  </si>
  <si>
    <t>No</t>
  </si>
  <si>
    <t>Yes</t>
  </si>
  <si>
    <t>Z</t>
  </si>
  <si>
    <t>14</t>
  </si>
  <si>
    <t>Valid Auxiliary and Digital Input voltages required</t>
  </si>
  <si>
    <t>V12.</t>
  </si>
  <si>
    <t>Mounting option</t>
  </si>
  <si>
    <t>Mounting option :</t>
  </si>
  <si>
    <t>Pre-fixed HMI (no withdrawability)</t>
  </si>
  <si>
    <t>Sealed cover</t>
  </si>
  <si>
    <t>Pre-fixed HMI + Sealed cover</t>
  </si>
  <si>
    <t>105 - 145 Vdc</t>
  </si>
  <si>
    <t>KBUS / COURIER</t>
  </si>
  <si>
    <t>110 Vdc -30% / +20%</t>
  </si>
  <si>
    <t>48 - 250 Vdc (ac immune)</t>
  </si>
  <si>
    <t>IEC 60870-5-103</t>
  </si>
  <si>
    <t>24 - 250 Vdc (ac immune)</t>
  </si>
  <si>
    <t>None (default)</t>
  </si>
  <si>
    <t>V12.B</t>
  </si>
  <si>
    <t>V10.E</t>
  </si>
  <si>
    <t>V11.A</t>
  </si>
  <si>
    <t>V11.C</t>
  </si>
  <si>
    <t>V11.D</t>
  </si>
  <si>
    <t>V11.E</t>
  </si>
  <si>
    <t>V11.F</t>
  </si>
  <si>
    <t>V12.A</t>
  </si>
  <si>
    <t>V7.A</t>
  </si>
  <si>
    <t>V12.C</t>
  </si>
  <si>
    <t>24 - 250 Vdc / 48 - 240 Vac</t>
  </si>
  <si>
    <t>Phase 2</t>
  </si>
  <si>
    <t>Phase 2 with graphical display: Chinese HMI</t>
  </si>
  <si>
    <t>Phase 1</t>
  </si>
  <si>
    <t>Hidden under rationalization project</t>
  </si>
  <si>
    <t xml:space="preserve">24 - 250 Vdc / 48 - 240 Vac </t>
  </si>
  <si>
    <t>SE look&amp;feel Phase 2</t>
  </si>
  <si>
    <t>MiCOM P123</t>
  </si>
  <si>
    <t>Cortec Landing cell :</t>
  </si>
  <si>
    <t>Configurator feedback :</t>
  </si>
  <si>
    <t>double digit in same row</t>
  </si>
  <si>
    <t>Cortec digit control 1</t>
  </si>
  <si>
    <t>P</t>
  </si>
  <si>
    <t>Cortec digit control 2</t>
  </si>
  <si>
    <t>Cortec digit control 3</t>
  </si>
  <si>
    <t>Cortec digit control 4</t>
  </si>
  <si>
    <t>$B$11</t>
  </si>
  <si>
    <t>$B$16</t>
  </si>
  <si>
    <t>$B$23</t>
  </si>
  <si>
    <t>$B$31</t>
  </si>
  <si>
    <t>$B$37</t>
  </si>
  <si>
    <t>$B$53</t>
  </si>
  <si>
    <t>$B$82</t>
  </si>
  <si>
    <t>Constant</t>
  </si>
  <si>
    <t>P123C00R812RD8</t>
  </si>
  <si>
    <t>Форма заказа</t>
  </si>
  <si>
    <t>Готовая к использованию конфигурация</t>
  </si>
  <si>
    <t>P12x Токовая защита</t>
  </si>
  <si>
    <t>Тип реле:</t>
  </si>
  <si>
    <t>Трехфазная защита и защита от ЗЗ</t>
  </si>
  <si>
    <t>Токовый вход для ТТНП:</t>
  </si>
  <si>
    <t>0.1 - 40 x номинального тока</t>
  </si>
  <si>
    <t>0.01 - 8 x номинального тока</t>
  </si>
  <si>
    <t>0.002 - I x номинального тока</t>
  </si>
  <si>
    <t>Напряжение питания:</t>
  </si>
  <si>
    <t>Диапазон работы оптовходов:</t>
  </si>
  <si>
    <t>Протокол связи:</t>
  </si>
  <si>
    <t>Язык:</t>
  </si>
  <si>
    <t>Французский</t>
  </si>
  <si>
    <t>Английский</t>
  </si>
  <si>
    <t>Испанский</t>
  </si>
  <si>
    <t>Немецкий</t>
  </si>
  <si>
    <t>Итальянский</t>
  </si>
  <si>
    <t>Русский</t>
  </si>
  <si>
    <t>Польский</t>
  </si>
  <si>
    <r>
      <t xml:space="preserve">Португальский </t>
    </r>
    <r>
      <rPr>
        <vertAlign val="superscript"/>
        <sz val="10"/>
        <color indexed="8"/>
        <rFont val="Arial"/>
        <family val="2"/>
      </rPr>
      <t>4)</t>
    </r>
  </si>
  <si>
    <t>Голландский</t>
  </si>
  <si>
    <t>Чешский</t>
  </si>
  <si>
    <t>Венгерский</t>
  </si>
  <si>
    <r>
      <t xml:space="preserve">Греческий </t>
    </r>
    <r>
      <rPr>
        <vertAlign val="superscript"/>
        <sz val="10"/>
        <color indexed="8"/>
        <rFont val="Arial"/>
        <family val="2"/>
      </rPr>
      <t>5)</t>
    </r>
  </si>
  <si>
    <t>Турецкий</t>
  </si>
  <si>
    <r>
      <t xml:space="preserve">Китайский </t>
    </r>
    <r>
      <rPr>
        <vertAlign val="superscript"/>
        <sz val="10"/>
        <color indexed="8"/>
        <rFont val="Arial"/>
        <family val="2"/>
      </rPr>
      <t>2)</t>
    </r>
  </si>
  <si>
    <t>Платформа:</t>
  </si>
  <si>
    <t>SE look&amp;feel Phase 2 с большим ЖК-дисплеем</t>
  </si>
  <si>
    <t>Последняя версия Основного ПО:</t>
  </si>
  <si>
    <t>Последняя версия Вспомогательного ПО:</t>
  </si>
  <si>
    <t>Тип монтажа:</t>
  </si>
  <si>
    <r>
      <t xml:space="preserve">Нет (по умолчанию) </t>
    </r>
    <r>
      <rPr>
        <vertAlign val="superscript"/>
        <sz val="10"/>
        <rFont val="Arial"/>
        <family val="2"/>
      </rPr>
      <t>4)</t>
    </r>
  </si>
  <si>
    <t>Встроенный ЧМИ (несъемный)</t>
  </si>
  <si>
    <r>
      <t xml:space="preserve">Герметичная крышка для защиты доступа к передней панели </t>
    </r>
    <r>
      <rPr>
        <vertAlign val="superscript"/>
        <sz val="10"/>
        <color indexed="8"/>
        <rFont val="Arial"/>
        <family val="2"/>
      </rPr>
      <t>3)</t>
    </r>
  </si>
  <si>
    <t>Встроенный ЧМИ (несъемный) + герметичная крышка для защиты доступа к передней панели</t>
  </si>
  <si>
    <t>Примечания:</t>
  </si>
  <si>
    <r>
      <t>2)</t>
    </r>
    <r>
      <rPr>
        <sz val="10"/>
        <rFont val="Arial"/>
        <family val="2"/>
      </rPr>
      <t xml:space="preserve"> Доступно только для  Phase 2 Hardware с большим ЖК-экраном</t>
    </r>
  </si>
  <si>
    <r>
      <t>3)</t>
    </r>
    <r>
      <rPr>
        <sz val="10"/>
        <rFont val="Arial"/>
        <family val="2"/>
      </rPr>
      <t xml:space="preserve"> Доступно только с ПО V11.D или с более поздней версией </t>
    </r>
  </si>
  <si>
    <r>
      <t>4)</t>
    </r>
    <r>
      <rPr>
        <sz val="10"/>
        <rFont val="Arial"/>
        <family val="2"/>
      </rPr>
      <t xml:space="preserve"> Недоступно при значениях Напряжения питания/Диапазона работы оптовходов, соответствующие коду T</t>
    </r>
  </si>
  <si>
    <r>
      <t xml:space="preserve">5) </t>
    </r>
    <r>
      <rPr>
        <sz val="10"/>
        <rFont val="Arial"/>
        <family val="2"/>
      </rPr>
      <t>Доступно только для Phase 2 Hardware с большим ЖК-дисплеем</t>
    </r>
  </si>
  <si>
    <t>Готовые к использованию конфигурации</t>
  </si>
  <si>
    <t>Идентификационный код устройства в SAP</t>
  </si>
  <si>
    <t>Напряжение питания  /  Диапазон работы оптовходов</t>
  </si>
  <si>
    <t xml:space="preserve">Протокол связи: </t>
  </si>
  <si>
    <t>Версия программного обеспечения</t>
  </si>
  <si>
    <t>105 - 145 Vdc (специальное применение)</t>
  </si>
  <si>
    <t xml:space="preserve">24 - 250 Vdc  (испытано UK ENA + зажимные винты ) </t>
  </si>
  <si>
    <t>110 Vdc -30% / +20% (специальное применение)</t>
  </si>
  <si>
    <t>220 Vdc -30% / +20% (специальное применение)</t>
  </si>
  <si>
    <t>Португальский</t>
  </si>
  <si>
    <t>Греческий</t>
  </si>
  <si>
    <t>Китайский</t>
  </si>
  <si>
    <t>Версия программного обеспечения V12.B</t>
  </si>
  <si>
    <t>Версия программного обеспечения V12.A</t>
  </si>
  <si>
    <t>Latest Версия программного обеспечения V12.C</t>
  </si>
  <si>
    <t>Версия программного обеспечения V10.E</t>
  </si>
  <si>
    <t>Версия программного обеспечения V11.A</t>
  </si>
  <si>
    <t>Версия программного обеспечения V11.C</t>
  </si>
  <si>
    <t>Версия программного обеспечения V11.D</t>
  </si>
  <si>
    <t>Версия программного обеспечения V11.E</t>
  </si>
  <si>
    <t>Версия программного обеспечения V11.F</t>
  </si>
  <si>
    <t>Версия программного обеспечения V7.A</t>
  </si>
  <si>
    <t>Нет (по умолчанию)</t>
  </si>
  <si>
    <t>Герметичная крышка для защиты доступа к передней панели</t>
  </si>
  <si>
    <t>Диапазон работы оптовходов :</t>
  </si>
  <si>
    <t>Напряжение питания :</t>
  </si>
  <si>
    <t>Версия программного обеспечения V13.A</t>
  </si>
  <si>
    <t>V13.</t>
  </si>
  <si>
    <t>V13.A</t>
  </si>
  <si>
    <t>Версия программного обеспечения V13.B</t>
  </si>
  <si>
    <t>V13.B</t>
  </si>
  <si>
    <t>Версия программного обеспечения V14.A</t>
  </si>
  <si>
    <t>V14.</t>
  </si>
  <si>
    <t>V14.A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</si>
</sst>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000"/>
    <numFmt numFmtId="197" formatCode="#0,000"/>
    <numFmt numFmtId="198" formatCode="0.000"/>
    <numFmt numFmtId="199" formatCode="00"/>
    <numFmt numFmtId="200" formatCode="0.0"/>
    <numFmt numFmtId="201" formatCode=";;;"/>
    <numFmt numFmtId="202" formatCode="000"/>
    <numFmt numFmtId="203" formatCode="00.0"/>
    <numFmt numFmtId="204" formatCode="###############"/>
    <numFmt numFmtId="205" formatCode="000000000000000"/>
    <numFmt numFmtId="206" formatCode="00000"/>
    <numFmt numFmtId="207" formatCode="\'0000"/>
    <numFmt numFmtId="208" formatCode="0###"/>
    <numFmt numFmtId="209" formatCode="mm/dd/yy"/>
    <numFmt numFmtId="210" formatCode="[$-809]dd\ mmmm\ yyyy"/>
    <numFmt numFmtId="211" formatCode="dd/mm/yy;@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76">
    <font>
      <sz val="10"/>
      <name val="Arial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indexed="17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0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i/>
      <sz val="10"/>
      <color indexed="10"/>
      <name val="Arial"/>
      <family val="2"/>
    </font>
    <font>
      <b/>
      <sz val="14"/>
      <color indexed="17"/>
      <name val="Arial"/>
      <family val="2"/>
    </font>
    <font>
      <b/>
      <sz val="13"/>
      <name val="Arial"/>
      <family val="2"/>
    </font>
    <font>
      <sz val="14"/>
      <color indexed="10"/>
      <name val="Arial"/>
      <family val="2"/>
    </font>
    <font>
      <sz val="8"/>
      <color indexed="17"/>
      <name val="Arial"/>
      <family val="2"/>
    </font>
    <font>
      <sz val="14"/>
      <color indexed="57"/>
      <name val="SEOptimist"/>
      <family val="3"/>
    </font>
    <font>
      <sz val="18"/>
      <name val="SEOptimistBlack"/>
      <family val="3"/>
    </font>
    <font>
      <sz val="14"/>
      <name val="SEOptimist"/>
      <family val="3"/>
    </font>
    <font>
      <sz val="10"/>
      <color indexed="9"/>
      <name val="SEOptimist"/>
      <family val="3"/>
    </font>
    <font>
      <b/>
      <sz val="11"/>
      <color indexed="17"/>
      <name val="SEOptimist"/>
      <family val="3"/>
    </font>
    <font>
      <b/>
      <sz val="10"/>
      <color indexed="17"/>
      <name val="SEOptimist"/>
      <family val="3"/>
    </font>
    <font>
      <vertAlign val="superscript"/>
      <sz val="10"/>
      <name val="Arial"/>
      <family val="2"/>
    </font>
    <font>
      <sz val="10"/>
      <name val="SEOptimist"/>
      <family val="3"/>
    </font>
    <font>
      <b/>
      <sz val="10"/>
      <color indexed="17"/>
      <name val="Arial"/>
      <family val="2"/>
    </font>
    <font>
      <sz val="14"/>
      <color indexed="9"/>
      <name val="SEOptimist"/>
      <family val="3"/>
    </font>
    <font>
      <sz val="6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16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vertical="center"/>
    </xf>
    <xf numFmtId="0" fontId="9" fillId="0" borderId="17" xfId="0" applyFont="1" applyBorder="1" applyAlignment="1" quotePrefix="1">
      <alignment horizontal="center" vertical="center"/>
    </xf>
    <xf numFmtId="0" fontId="0" fillId="0" borderId="13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16" fillId="0" borderId="0" xfId="35" applyFont="1" applyBorder="1">
      <alignment/>
      <protection/>
    </xf>
    <xf numFmtId="0" fontId="2" fillId="0" borderId="18" xfId="0" applyFont="1" applyBorder="1" applyAlignment="1">
      <alignment vertical="center"/>
    </xf>
    <xf numFmtId="14" fontId="0" fillId="0" borderId="14" xfId="0" applyNumberFormat="1" applyBorder="1" applyAlignment="1">
      <alignment horizontal="center"/>
    </xf>
    <xf numFmtId="211" fontId="7" fillId="0" borderId="12" xfId="0" applyNumberFormat="1" applyFont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0" fillId="0" borderId="20" xfId="0" applyFill="1" applyBorder="1" applyAlignment="1">
      <alignment/>
    </xf>
    <xf numFmtId="14" fontId="0" fillId="0" borderId="14" xfId="0" applyNumberFormat="1" applyBorder="1" applyAlignment="1" quotePrefix="1">
      <alignment horizontal="center"/>
    </xf>
    <xf numFmtId="0" fontId="0" fillId="0" borderId="0" xfId="0" applyFont="1" applyFill="1" applyAlignment="1">
      <alignment/>
    </xf>
    <xf numFmtId="0" fontId="15" fillId="33" borderId="16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3" xfId="0" applyBorder="1" applyAlignment="1">
      <alignment horizontal="center" wrapText="1"/>
    </xf>
    <xf numFmtId="0" fontId="0" fillId="34" borderId="20" xfId="0" applyFill="1" applyBorder="1" applyAlignment="1" quotePrefix="1">
      <alignment/>
    </xf>
    <xf numFmtId="1" fontId="2" fillId="0" borderId="25" xfId="0" applyNumberFormat="1" applyFont="1" applyBorder="1" applyAlignment="1">
      <alignment horizontal="center" vertical="center"/>
    </xf>
    <xf numFmtId="208" fontId="2" fillId="0" borderId="25" xfId="0" applyNumberFormat="1" applyFont="1" applyBorder="1" applyAlignment="1">
      <alignment horizontal="center" vertical="center"/>
    </xf>
    <xf numFmtId="0" fontId="0" fillId="0" borderId="19" xfId="0" applyFill="1" applyBorder="1" applyAlignment="1" quotePrefix="1">
      <alignment horizontal="center"/>
    </xf>
    <xf numFmtId="0" fontId="14" fillId="0" borderId="14" xfId="0" applyFont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" fillId="0" borderId="13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20" fillId="0" borderId="25" xfId="0" applyNumberFormat="1" applyFont="1" applyBorder="1" applyAlignment="1">
      <alignment horizontal="center" vertical="center"/>
    </xf>
    <xf numFmtId="0" fontId="0" fillId="34" borderId="24" xfId="0" applyFill="1" applyBorder="1" applyAlignment="1" applyProtection="1" quotePrefix="1">
      <alignment horizontal="center"/>
      <protection locked="0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10" xfId="0" applyFill="1" applyBorder="1" applyAlignment="1" quotePrefix="1">
      <alignment/>
    </xf>
    <xf numFmtId="0" fontId="0" fillId="34" borderId="0" xfId="0" applyFill="1" applyBorder="1" applyAlignment="1">
      <alignment horizontal="center"/>
    </xf>
    <xf numFmtId="0" fontId="17" fillId="34" borderId="0" xfId="0" applyFont="1" applyFill="1" applyBorder="1" applyAlignment="1">
      <alignment/>
    </xf>
    <xf numFmtId="0" fontId="0" fillId="34" borderId="0" xfId="0" applyFill="1" applyBorder="1" applyAlignment="1" applyProtection="1" quotePrefix="1">
      <alignment horizontal="center"/>
      <protection locked="0"/>
    </xf>
    <xf numFmtId="0" fontId="1" fillId="34" borderId="0" xfId="0" applyFont="1" applyFill="1" applyBorder="1" applyAlignment="1">
      <alignment horizontal="center"/>
    </xf>
    <xf numFmtId="0" fontId="5" fillId="0" borderId="11" xfId="0" applyFont="1" applyFill="1" applyBorder="1" applyAlignment="1" applyProtection="1" quotePrefix="1">
      <alignment horizontal="center"/>
      <protection locked="0"/>
    </xf>
    <xf numFmtId="0" fontId="14" fillId="0" borderId="21" xfId="0" applyFon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4" fontId="0" fillId="0" borderId="11" xfId="0" applyNumberFormat="1" applyFill="1" applyBorder="1" applyAlignment="1">
      <alignment/>
    </xf>
    <xf numFmtId="14" fontId="10" fillId="0" borderId="23" xfId="0" applyNumberFormat="1" applyFont="1" applyBorder="1" applyAlignment="1">
      <alignment horizontal="center"/>
    </xf>
    <xf numFmtId="14" fontId="10" fillId="0" borderId="18" xfId="0" applyNumberFormat="1" applyFont="1" applyBorder="1" applyAlignment="1">
      <alignment horizontal="center"/>
    </xf>
    <xf numFmtId="0" fontId="0" fillId="0" borderId="22" xfId="0" applyFill="1" applyBorder="1" applyAlignment="1" quotePrefix="1">
      <alignment horizontal="center"/>
    </xf>
    <xf numFmtId="0" fontId="1" fillId="34" borderId="21" xfId="0" applyFont="1" applyFill="1" applyBorder="1" applyAlignment="1" quotePrefix="1">
      <alignment/>
    </xf>
    <xf numFmtId="1" fontId="0" fillId="0" borderId="12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12" xfId="0" applyNumberFormat="1" applyFill="1" applyBorder="1" applyAlignment="1" quotePrefix="1">
      <alignment horizontal="center"/>
    </xf>
    <xf numFmtId="0" fontId="1" fillId="0" borderId="27" xfId="0" applyFont="1" applyFill="1" applyBorder="1" applyAlignment="1">
      <alignment horizontal="center"/>
    </xf>
    <xf numFmtId="0" fontId="14" fillId="0" borderId="20" xfId="0" applyFont="1" applyFill="1" applyBorder="1" applyAlignment="1" quotePrefix="1">
      <alignment horizontal="center"/>
    </xf>
    <xf numFmtId="0" fontId="14" fillId="0" borderId="28" xfId="0" applyFont="1" applyFill="1" applyBorder="1" applyAlignment="1" quotePrefix="1">
      <alignment horizontal="center"/>
    </xf>
    <xf numFmtId="0" fontId="1" fillId="0" borderId="20" xfId="0" applyFont="1" applyFill="1" applyBorder="1" applyAlignment="1" quotePrefix="1">
      <alignment horizontal="center"/>
    </xf>
    <xf numFmtId="0" fontId="14" fillId="0" borderId="27" xfId="0" applyFont="1" applyFill="1" applyBorder="1" applyAlignment="1" quotePrefix="1">
      <alignment horizontal="center"/>
    </xf>
    <xf numFmtId="0" fontId="0" fillId="0" borderId="24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17" fillId="34" borderId="27" xfId="0" applyFont="1" applyFill="1" applyBorder="1" applyAlignment="1">
      <alignment horizontal="left"/>
    </xf>
    <xf numFmtId="0" fontId="17" fillId="34" borderId="20" xfId="0" applyFont="1" applyFill="1" applyBorder="1" applyAlignment="1">
      <alignment horizontal="left"/>
    </xf>
    <xf numFmtId="0" fontId="17" fillId="34" borderId="2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4" fontId="5" fillId="0" borderId="11" xfId="0" applyNumberFormat="1" applyFont="1" applyFill="1" applyBorder="1" applyAlignment="1">
      <alignment horizontal="center"/>
    </xf>
    <xf numFmtId="0" fontId="0" fillId="34" borderId="21" xfId="0" applyFill="1" applyBorder="1" applyAlignment="1" quotePrefix="1">
      <alignment/>
    </xf>
    <xf numFmtId="0" fontId="1" fillId="0" borderId="2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24" xfId="0" applyFill="1" applyBorder="1" applyAlignment="1" quotePrefix="1">
      <alignment/>
    </xf>
    <xf numFmtId="0" fontId="0" fillId="0" borderId="23" xfId="0" applyFill="1" applyBorder="1" applyAlignment="1" quotePrefix="1">
      <alignment/>
    </xf>
    <xf numFmtId="0" fontId="1" fillId="0" borderId="26" xfId="0" applyFont="1" applyFill="1" applyBorder="1" applyAlignment="1">
      <alignment horizontal="left"/>
    </xf>
    <xf numFmtId="0" fontId="0" fillId="0" borderId="23" xfId="0" applyFill="1" applyBorder="1" applyAlignment="1" quotePrefix="1">
      <alignment horizontal="center"/>
    </xf>
    <xf numFmtId="0" fontId="0" fillId="0" borderId="26" xfId="0" applyFill="1" applyBorder="1" applyAlignment="1" quotePrefix="1">
      <alignment horizontal="center"/>
    </xf>
    <xf numFmtId="0" fontId="0" fillId="0" borderId="10" xfId="0" applyFill="1" applyBorder="1" applyAlignment="1" quotePrefix="1">
      <alignment horizontal="center"/>
    </xf>
    <xf numFmtId="14" fontId="1" fillId="0" borderId="13" xfId="0" applyNumberFormat="1" applyFont="1" applyFill="1" applyBorder="1" applyAlignment="1">
      <alignment/>
    </xf>
    <xf numFmtId="14" fontId="1" fillId="0" borderId="14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" fontId="1" fillId="0" borderId="0" xfId="35" applyNumberFormat="1" applyFont="1" applyBorder="1" applyAlignment="1">
      <alignment horizontal="left"/>
      <protection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1" fillId="34" borderId="26" xfId="0" applyFont="1" applyFill="1" applyBorder="1" applyAlignment="1" quotePrefix="1">
      <alignment horizontal="left"/>
    </xf>
    <xf numFmtId="0" fontId="0" fillId="0" borderId="12" xfId="0" applyFill="1" applyBorder="1" applyAlignment="1" quotePrefix="1">
      <alignment/>
    </xf>
    <xf numFmtId="0" fontId="1" fillId="0" borderId="19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0" fontId="1" fillId="34" borderId="22" xfId="0" applyFont="1" applyFill="1" applyBorder="1" applyAlignment="1" quotePrefix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4" fillId="34" borderId="13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4" borderId="13" xfId="0" applyFont="1" applyFill="1" applyBorder="1" applyAlignment="1" quotePrefix="1">
      <alignment horizontal="center" vertical="center"/>
    </xf>
    <xf numFmtId="0" fontId="4" fillId="35" borderId="19" xfId="0" applyFont="1" applyFill="1" applyBorder="1" applyAlignment="1" quotePrefix="1">
      <alignment horizontal="center" vertical="center"/>
    </xf>
    <xf numFmtId="0" fontId="4" fillId="34" borderId="19" xfId="0" applyFont="1" applyFill="1" applyBorder="1" applyAlignment="1" quotePrefix="1">
      <alignment horizontal="center" vertical="center"/>
    </xf>
    <xf numFmtId="0" fontId="4" fillId="34" borderId="26" xfId="0" applyFont="1" applyFill="1" applyBorder="1" applyAlignment="1" quotePrefix="1">
      <alignment horizontal="center" vertical="center"/>
    </xf>
    <xf numFmtId="0" fontId="4" fillId="34" borderId="0" xfId="0" applyFont="1" applyFill="1" applyBorder="1" applyAlignment="1" quotePrefix="1">
      <alignment horizontal="center" vertical="center"/>
    </xf>
    <xf numFmtId="0" fontId="0" fillId="0" borderId="12" xfId="0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/>
    </xf>
    <xf numFmtId="1" fontId="5" fillId="0" borderId="11" xfId="0" applyNumberFormat="1" applyFont="1" applyFill="1" applyBorder="1" applyAlignment="1" applyProtection="1" quotePrefix="1">
      <alignment horizontal="center"/>
      <protection locked="0"/>
    </xf>
    <xf numFmtId="0" fontId="0" fillId="34" borderId="27" xfId="0" applyFill="1" applyBorder="1" applyAlignment="1" applyProtection="1" quotePrefix="1">
      <alignment horizontal="center"/>
      <protection locked="0"/>
    </xf>
    <xf numFmtId="0" fontId="0" fillId="34" borderId="28" xfId="0" applyFill="1" applyBorder="1" applyAlignment="1" applyProtection="1" quotePrefix="1">
      <alignment horizontal="center"/>
      <protection locked="0"/>
    </xf>
    <xf numFmtId="0" fontId="0" fillId="34" borderId="23" xfId="0" applyFill="1" applyBorder="1" applyAlignment="1" applyProtection="1" quotePrefix="1">
      <alignment horizontal="center"/>
      <protection locked="0"/>
    </xf>
    <xf numFmtId="0" fontId="14" fillId="0" borderId="11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4" fillId="34" borderId="24" xfId="0" applyFont="1" applyFill="1" applyBorder="1" applyAlignment="1" quotePrefix="1">
      <alignment/>
    </xf>
    <xf numFmtId="0" fontId="14" fillId="0" borderId="23" xfId="0" applyFont="1" applyFill="1" applyBorder="1" applyAlignment="1" quotePrefix="1">
      <alignment horizontal="center"/>
    </xf>
    <xf numFmtId="0" fontId="14" fillId="0" borderId="24" xfId="0" applyFont="1" applyFill="1" applyBorder="1" applyAlignment="1" quotePrefix="1">
      <alignment horizontal="center"/>
    </xf>
    <xf numFmtId="0" fontId="14" fillId="34" borderId="26" xfId="0" applyFont="1" applyFill="1" applyBorder="1" applyAlignment="1" quotePrefix="1">
      <alignment horizontal="center"/>
    </xf>
    <xf numFmtId="0" fontId="14" fillId="34" borderId="19" xfId="0" applyFont="1" applyFill="1" applyBorder="1" applyAlignment="1" quotePrefix="1">
      <alignment horizontal="center"/>
    </xf>
    <xf numFmtId="0" fontId="0" fillId="34" borderId="19" xfId="0" applyFill="1" applyBorder="1" applyAlignment="1" quotePrefix="1">
      <alignment/>
    </xf>
    <xf numFmtId="0" fontId="0" fillId="0" borderId="11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24" xfId="0" applyFon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34" borderId="13" xfId="0" applyFill="1" applyBorder="1" applyAlignment="1" quotePrefix="1">
      <alignment horizontal="center"/>
    </xf>
    <xf numFmtId="14" fontId="0" fillId="34" borderId="14" xfId="0" applyNumberFormat="1" applyFill="1" applyBorder="1" applyAlignment="1">
      <alignment horizontal="center"/>
    </xf>
    <xf numFmtId="0" fontId="0" fillId="34" borderId="10" xfId="0" applyFill="1" applyBorder="1" applyAlignment="1" quotePrefix="1">
      <alignment horizontal="center"/>
    </xf>
    <xf numFmtId="0" fontId="0" fillId="34" borderId="14" xfId="0" applyFill="1" applyBorder="1" applyAlignment="1" quotePrefix="1">
      <alignment horizontal="center"/>
    </xf>
    <xf numFmtId="0" fontId="0" fillId="34" borderId="13" xfId="0" applyFill="1" applyBorder="1" applyAlignment="1" quotePrefix="1">
      <alignment horizontal="center" wrapText="1"/>
    </xf>
    <xf numFmtId="0" fontId="14" fillId="34" borderId="14" xfId="0" applyFont="1" applyFill="1" applyBorder="1" applyAlignment="1" quotePrefix="1">
      <alignment horizontal="center"/>
    </xf>
    <xf numFmtId="0" fontId="0" fillId="34" borderId="11" xfId="0" applyFill="1" applyBorder="1" applyAlignment="1" quotePrefix="1">
      <alignment horizontal="center"/>
    </xf>
    <xf numFmtId="14" fontId="0" fillId="34" borderId="14" xfId="0" applyNumberFormat="1" applyFill="1" applyBorder="1" applyAlignment="1" quotePrefix="1">
      <alignment horizontal="center"/>
    </xf>
    <xf numFmtId="0" fontId="0" fillId="34" borderId="13" xfId="0" applyFill="1" applyBorder="1" applyAlignment="1" quotePrefix="1">
      <alignment horizontal="left" wrapText="1"/>
    </xf>
    <xf numFmtId="0" fontId="0" fillId="34" borderId="14" xfId="0" applyFill="1" applyBorder="1" applyAlignment="1" quotePrefix="1">
      <alignment horizontal="left" wrapText="1"/>
    </xf>
    <xf numFmtId="0" fontId="0" fillId="34" borderId="0" xfId="0" applyFill="1" applyBorder="1" applyAlignment="1" quotePrefix="1">
      <alignment/>
    </xf>
    <xf numFmtId="0" fontId="2" fillId="0" borderId="29" xfId="0" applyFont="1" applyBorder="1" applyAlignment="1">
      <alignment vertical="center"/>
    </xf>
    <xf numFmtId="14" fontId="0" fillId="0" borderId="14" xfId="0" applyNumberFormat="1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4" fontId="0" fillId="0" borderId="14" xfId="0" applyNumberFormat="1" applyFont="1" applyFill="1" applyBorder="1" applyAlignment="1">
      <alignment horizontal="center"/>
    </xf>
    <xf numFmtId="0" fontId="0" fillId="34" borderId="20" xfId="0" applyFill="1" applyBorder="1" applyAlignment="1" applyProtection="1" quotePrefix="1">
      <alignment horizontal="center"/>
      <protection locked="0"/>
    </xf>
    <xf numFmtId="0" fontId="14" fillId="34" borderId="0" xfId="0" applyFont="1" applyFill="1" applyBorder="1" applyAlignment="1" quotePrefix="1">
      <alignment horizontal="center"/>
    </xf>
    <xf numFmtId="0" fontId="14" fillId="34" borderId="18" xfId="0" applyFont="1" applyFill="1" applyBorder="1" applyAlignment="1" quotePrefix="1">
      <alignment/>
    </xf>
    <xf numFmtId="0" fontId="6" fillId="0" borderId="0" xfId="0" applyFont="1" applyBorder="1" applyAlignment="1">
      <alignment/>
    </xf>
    <xf numFmtId="0" fontId="0" fillId="34" borderId="0" xfId="0" applyFill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0" fillId="0" borderId="26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4" borderId="13" xfId="0" applyFill="1" applyBorder="1" applyAlignment="1" quotePrefix="1">
      <alignment/>
    </xf>
    <xf numFmtId="0" fontId="1" fillId="34" borderId="12" xfId="0" applyFont="1" applyFill="1" applyBorder="1" applyAlignment="1" quotePrefix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 quotePrefix="1">
      <alignment/>
    </xf>
    <xf numFmtId="0" fontId="14" fillId="0" borderId="13" xfId="0" applyFont="1" applyFill="1" applyBorder="1" applyAlignment="1" quotePrefix="1">
      <alignment/>
    </xf>
    <xf numFmtId="0" fontId="0" fillId="34" borderId="13" xfId="0" applyFill="1" applyBorder="1" applyAlignment="1">
      <alignment horizontal="left" wrapText="1"/>
    </xf>
    <xf numFmtId="1" fontId="22" fillId="0" borderId="27" xfId="0" applyNumberFormat="1" applyFont="1" applyBorder="1" applyAlignment="1">
      <alignment horizontal="left" vertical="center"/>
    </xf>
    <xf numFmtId="1" fontId="20" fillId="0" borderId="20" xfId="0" applyNumberFormat="1" applyFont="1" applyBorder="1" applyAlignment="1">
      <alignment horizontal="center" vertical="center"/>
    </xf>
    <xf numFmtId="1" fontId="20" fillId="0" borderId="20" xfId="0" applyNumberFormat="1" applyFont="1" applyBorder="1" applyAlignment="1" quotePrefix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20" fillId="0" borderId="28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/>
    </xf>
    <xf numFmtId="0" fontId="4" fillId="35" borderId="31" xfId="0" applyFont="1" applyFill="1" applyBorder="1" applyAlignment="1" quotePrefix="1">
      <alignment horizontal="center" vertical="center"/>
    </xf>
    <xf numFmtId="0" fontId="0" fillId="36" borderId="0" xfId="0" applyFill="1" applyBorder="1" applyAlignment="1">
      <alignment/>
    </xf>
    <xf numFmtId="0" fontId="23" fillId="0" borderId="32" xfId="0" applyFont="1" applyBorder="1" applyAlignment="1">
      <alignment horizontal="left" vertical="center"/>
    </xf>
    <xf numFmtId="0" fontId="24" fillId="0" borderId="0" xfId="35" applyFont="1" applyBorder="1">
      <alignment/>
      <protection/>
    </xf>
    <xf numFmtId="0" fontId="1" fillId="0" borderId="0" xfId="35" applyFont="1" applyBorder="1">
      <alignment/>
      <protection/>
    </xf>
    <xf numFmtId="0" fontId="1" fillId="0" borderId="0" xfId="35" applyFont="1" applyBorder="1" applyAlignment="1">
      <alignment horizontal="left"/>
      <protection/>
    </xf>
    <xf numFmtId="0" fontId="13" fillId="0" borderId="0" xfId="35" applyFont="1" applyBorder="1">
      <alignment/>
      <protection/>
    </xf>
    <xf numFmtId="0" fontId="1" fillId="0" borderId="0" xfId="35" applyFont="1" applyBorder="1" applyAlignment="1">
      <alignment horizontal="center"/>
      <protection/>
    </xf>
    <xf numFmtId="0" fontId="0" fillId="0" borderId="0" xfId="35" applyFont="1" applyBorder="1">
      <alignment/>
      <protection/>
    </xf>
    <xf numFmtId="0" fontId="0" fillId="0" borderId="0" xfId="35" applyFont="1" applyBorder="1" applyAlignment="1">
      <alignment horizontal="center"/>
      <protection/>
    </xf>
    <xf numFmtId="0" fontId="0" fillId="0" borderId="0" xfId="35" applyFont="1" applyBorder="1" applyAlignment="1">
      <alignment horizontal="center" vertical="center"/>
      <protection/>
    </xf>
    <xf numFmtId="0" fontId="13" fillId="0" borderId="0" xfId="35" applyFont="1" applyBorder="1" applyAlignment="1">
      <alignment horizontal="left"/>
      <protection/>
    </xf>
    <xf numFmtId="0" fontId="13" fillId="0" borderId="0" xfId="35" applyFont="1" applyBorder="1" applyAlignment="1">
      <alignment vertical="center"/>
      <protection/>
    </xf>
    <xf numFmtId="1" fontId="22" fillId="0" borderId="27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Border="1" applyAlignment="1">
      <alignment horizontal="center" vertical="center"/>
    </xf>
    <xf numFmtId="1" fontId="22" fillId="0" borderId="12" xfId="0" applyNumberFormat="1" applyFont="1" applyFill="1" applyBorder="1" applyAlignment="1" applyProtection="1">
      <alignment horizontal="center" vertical="center"/>
      <protection locked="0"/>
    </xf>
    <xf numFmtId="1" fontId="22" fillId="0" borderId="25" xfId="0" applyNumberFormat="1" applyFont="1" applyBorder="1" applyAlignment="1">
      <alignment horizontal="center" vertical="center"/>
    </xf>
    <xf numFmtId="1" fontId="22" fillId="0" borderId="25" xfId="0" applyNumberFormat="1" applyFont="1" applyBorder="1" applyAlignment="1" quotePrefix="1">
      <alignment horizontal="center" vertical="center"/>
    </xf>
    <xf numFmtId="1" fontId="22" fillId="0" borderId="25" xfId="0" applyNumberFormat="1" applyFont="1" applyFill="1" applyBorder="1" applyAlignment="1">
      <alignment horizontal="center" vertical="center"/>
    </xf>
    <xf numFmtId="1" fontId="22" fillId="0" borderId="33" xfId="0" applyNumberFormat="1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196" fontId="8" fillId="34" borderId="26" xfId="0" applyNumberFormat="1" applyFont="1" applyFill="1" applyBorder="1" applyAlignment="1">
      <alignment horizontal="center" vertical="center"/>
    </xf>
    <xf numFmtId="196" fontId="8" fillId="34" borderId="0" xfId="0" applyNumberFormat="1" applyFont="1" applyFill="1" applyBorder="1" applyAlignment="1">
      <alignment horizontal="center" vertical="center"/>
    </xf>
    <xf numFmtId="196" fontId="4" fillId="34" borderId="19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0" fillId="34" borderId="22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4" borderId="19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" fontId="4" fillId="34" borderId="10" xfId="0" applyNumberFormat="1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22" xfId="0" applyFont="1" applyFill="1" applyBorder="1" applyAlignment="1" quotePrefix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1" xfId="0" applyFont="1" applyFill="1" applyBorder="1" applyAlignment="1" quotePrefix="1">
      <alignment horizontal="center" vertical="center"/>
    </xf>
    <xf numFmtId="0" fontId="0" fillId="34" borderId="36" xfId="0" applyFont="1" applyFill="1" applyBorder="1" applyAlignment="1">
      <alignment/>
    </xf>
    <xf numFmtId="0" fontId="4" fillId="34" borderId="31" xfId="0" applyFont="1" applyFill="1" applyBorder="1" applyAlignment="1">
      <alignment horizontal="center"/>
    </xf>
    <xf numFmtId="0" fontId="0" fillId="34" borderId="31" xfId="0" applyFont="1" applyFill="1" applyBorder="1" applyAlignment="1">
      <alignment/>
    </xf>
    <xf numFmtId="0" fontId="4" fillId="34" borderId="31" xfId="0" applyFont="1" applyFill="1" applyBorder="1" applyAlignment="1" quotePrefix="1">
      <alignment horizontal="center" vertical="center"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1" fontId="21" fillId="34" borderId="18" xfId="0" applyNumberFormat="1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/>
    </xf>
    <xf numFmtId="1" fontId="21" fillId="34" borderId="10" xfId="0" applyNumberFormat="1" applyFont="1" applyFill="1" applyBorder="1" applyAlignment="1">
      <alignment horizontal="center" vertical="center" wrapText="1"/>
    </xf>
    <xf numFmtId="1" fontId="21" fillId="34" borderId="21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/>
    </xf>
    <xf numFmtId="0" fontId="2" fillId="35" borderId="13" xfId="0" applyFont="1" applyFill="1" applyBorder="1" applyAlignment="1" quotePrefix="1">
      <alignment horizontal="center"/>
    </xf>
    <xf numFmtId="0" fontId="0" fillId="35" borderId="13" xfId="0" applyFont="1" applyFill="1" applyBorder="1" applyAlignment="1">
      <alignment/>
    </xf>
    <xf numFmtId="1" fontId="5" fillId="35" borderId="19" xfId="0" applyNumberFormat="1" applyFont="1" applyFill="1" applyBorder="1" applyAlignment="1">
      <alignment vertical="center" wrapText="1"/>
    </xf>
    <xf numFmtId="1" fontId="5" fillId="35" borderId="22" xfId="0" applyNumberFormat="1" applyFont="1" applyFill="1" applyBorder="1" applyAlignment="1">
      <alignment vertical="center" wrapText="1"/>
    </xf>
    <xf numFmtId="0" fontId="4" fillId="35" borderId="26" xfId="0" applyFont="1" applyFill="1" applyBorder="1" applyAlignment="1">
      <alignment horizontal="center"/>
    </xf>
    <xf numFmtId="1" fontId="5" fillId="35" borderId="0" xfId="0" applyNumberFormat="1" applyFont="1" applyFill="1" applyBorder="1" applyAlignment="1">
      <alignment vertical="center" wrapText="1"/>
    </xf>
    <xf numFmtId="1" fontId="5" fillId="35" borderId="21" xfId="0" applyNumberFormat="1" applyFont="1" applyFill="1" applyBorder="1" applyAlignment="1">
      <alignment vertical="center" wrapText="1"/>
    </xf>
    <xf numFmtId="0" fontId="0" fillId="35" borderId="35" xfId="0" applyFont="1" applyFill="1" applyBorder="1" applyAlignment="1">
      <alignment/>
    </xf>
    <xf numFmtId="0" fontId="4" fillId="35" borderId="19" xfId="0" applyFont="1" applyFill="1" applyBorder="1" applyAlignment="1">
      <alignment horizontal="center"/>
    </xf>
    <xf numFmtId="0" fontId="0" fillId="35" borderId="19" xfId="0" applyFont="1" applyFill="1" applyBorder="1" applyAlignment="1">
      <alignment/>
    </xf>
    <xf numFmtId="0" fontId="4" fillId="35" borderId="22" xfId="0" applyFont="1" applyFill="1" applyBorder="1" applyAlignment="1">
      <alignment horizontal="center"/>
    </xf>
    <xf numFmtId="1" fontId="2" fillId="35" borderId="26" xfId="0" applyNumberFormat="1" applyFont="1" applyFill="1" applyBorder="1" applyAlignment="1">
      <alignment horizontal="center" vertical="center"/>
    </xf>
    <xf numFmtId="1" fontId="2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/>
    </xf>
    <xf numFmtId="0" fontId="2" fillId="35" borderId="0" xfId="0" applyFont="1" applyFill="1" applyBorder="1" applyAlignment="1" quotePrefix="1">
      <alignment horizontal="center"/>
    </xf>
    <xf numFmtId="1" fontId="4" fillId="35" borderId="21" xfId="0" applyNumberFormat="1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/>
    </xf>
    <xf numFmtId="0" fontId="2" fillId="35" borderId="21" xfId="0" applyFont="1" applyFill="1" applyBorder="1" applyAlignment="1" quotePrefix="1">
      <alignment horizontal="center"/>
    </xf>
    <xf numFmtId="0" fontId="0" fillId="35" borderId="39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4" fillId="35" borderId="26" xfId="0" applyFont="1" applyFill="1" applyBorder="1" applyAlignment="1" quotePrefix="1">
      <alignment horizontal="center" vertical="center"/>
    </xf>
    <xf numFmtId="1" fontId="21" fillId="35" borderId="21" xfId="0" applyNumberFormat="1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wrapText="1"/>
    </xf>
    <xf numFmtId="0" fontId="4" fillId="35" borderId="26" xfId="0" applyFont="1" applyFill="1" applyBorder="1" applyAlignment="1">
      <alignment horizontal="center" vertical="center"/>
    </xf>
    <xf numFmtId="1" fontId="4" fillId="35" borderId="0" xfId="0" applyNumberFormat="1" applyFont="1" applyFill="1" applyBorder="1" applyAlignment="1">
      <alignment horizontal="center" vertical="center"/>
    </xf>
    <xf numFmtId="1" fontId="21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9" fillId="0" borderId="17" xfId="0" applyFont="1" applyBorder="1" applyAlignment="1" quotePrefix="1">
      <alignment horizontal="right" vertical="center"/>
    </xf>
    <xf numFmtId="49" fontId="26" fillId="0" borderId="0" xfId="0" applyNumberFormat="1" applyFont="1" applyAlignment="1">
      <alignment vertical="top"/>
    </xf>
    <xf numFmtId="0" fontId="27" fillId="0" borderId="0" xfId="0" applyFont="1" applyAlignment="1">
      <alignment vertical="top"/>
    </xf>
    <xf numFmtId="0" fontId="22" fillId="33" borderId="40" xfId="0" applyFont="1" applyFill="1" applyBorder="1" applyAlignment="1">
      <alignment/>
    </xf>
    <xf numFmtId="0" fontId="18" fillId="33" borderId="4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196" fontId="16" fillId="34" borderId="0" xfId="0" applyNumberFormat="1" applyFont="1" applyFill="1" applyBorder="1" applyAlignment="1" quotePrefix="1">
      <alignment horizontal="center"/>
    </xf>
    <xf numFmtId="196" fontId="16" fillId="35" borderId="0" xfId="0" applyNumberFormat="1" applyFont="1" applyFill="1" applyBorder="1" applyAlignment="1" quotePrefix="1">
      <alignment horizontal="center"/>
    </xf>
    <xf numFmtId="49" fontId="0" fillId="0" borderId="0" xfId="0" applyNumberFormat="1" applyAlignment="1">
      <alignment vertical="top"/>
    </xf>
    <xf numFmtId="0" fontId="3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Alignment="1">
      <alignment vertical="top"/>
    </xf>
    <xf numFmtId="0" fontId="0" fillId="0" borderId="21" xfId="0" applyFill="1" applyBorder="1" applyAlignment="1">
      <alignment horizontal="left" wrapText="1"/>
    </xf>
    <xf numFmtId="0" fontId="6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0" borderId="20" xfId="0" applyFill="1" applyBorder="1" applyAlignment="1">
      <alignment horizontal="left" wrapText="1"/>
    </xf>
    <xf numFmtId="0" fontId="0" fillId="0" borderId="20" xfId="0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29" fillId="33" borderId="0" xfId="0" applyFont="1" applyFill="1" applyBorder="1" applyAlignment="1">
      <alignment/>
    </xf>
    <xf numFmtId="0" fontId="29" fillId="33" borderId="41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0" fillId="0" borderId="21" xfId="0" applyFill="1" applyBorder="1" applyAlignment="1">
      <alignment horizontal="centerContinuous"/>
    </xf>
    <xf numFmtId="196" fontId="16" fillId="0" borderId="21" xfId="0" applyNumberFormat="1" applyFont="1" applyFill="1" applyBorder="1" applyAlignment="1" quotePrefix="1">
      <alignment horizontal="center"/>
    </xf>
    <xf numFmtId="0" fontId="35" fillId="37" borderId="41" xfId="0" applyFont="1" applyFill="1" applyBorder="1" applyAlignment="1">
      <alignment wrapText="1"/>
    </xf>
    <xf numFmtId="0" fontId="35" fillId="37" borderId="4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wrapText="1"/>
    </xf>
    <xf numFmtId="0" fontId="5" fillId="38" borderId="12" xfId="0" applyFont="1" applyFill="1" applyBorder="1" applyAlignment="1" applyProtection="1" quotePrefix="1">
      <alignment horizontal="center"/>
      <protection locked="0"/>
    </xf>
    <xf numFmtId="0" fontId="5" fillId="38" borderId="11" xfId="0" applyFont="1" applyFill="1" applyBorder="1" applyAlignment="1" applyProtection="1" quotePrefix="1">
      <alignment horizontal="center"/>
      <protection locked="0"/>
    </xf>
    <xf numFmtId="0" fontId="36" fillId="34" borderId="0" xfId="34" applyFont="1" applyFill="1">
      <alignment/>
      <protection/>
    </xf>
    <xf numFmtId="0" fontId="36" fillId="34" borderId="0" xfId="34" applyFont="1" applyFill="1" applyBorder="1" applyAlignment="1">
      <alignment horizontal="center"/>
      <protection/>
    </xf>
    <xf numFmtId="0" fontId="36" fillId="34" borderId="0" xfId="34" applyFont="1" applyFill="1" applyAlignment="1">
      <alignment horizontal="center"/>
      <protection/>
    </xf>
    <xf numFmtId="0" fontId="0" fillId="0" borderId="0" xfId="34">
      <alignment/>
      <protection/>
    </xf>
    <xf numFmtId="0" fontId="0" fillId="39" borderId="0" xfId="34" applyFill="1">
      <alignment/>
      <protection/>
    </xf>
    <xf numFmtId="0" fontId="0" fillId="40" borderId="0" xfId="34" applyFill="1" applyBorder="1" applyAlignment="1">
      <alignment horizontal="center"/>
      <protection/>
    </xf>
    <xf numFmtId="0" fontId="0" fillId="39" borderId="0" xfId="34" applyFill="1" applyAlignment="1">
      <alignment horizontal="center"/>
      <protection/>
    </xf>
    <xf numFmtId="0" fontId="0" fillId="34" borderId="0" xfId="34" applyFill="1">
      <alignment/>
      <protection/>
    </xf>
    <xf numFmtId="0" fontId="0" fillId="41" borderId="42" xfId="34" applyFill="1" applyBorder="1" applyAlignment="1">
      <alignment horizontal="center"/>
      <protection/>
    </xf>
    <xf numFmtId="0" fontId="0" fillId="34" borderId="0" xfId="34" applyFill="1" applyAlignment="1">
      <alignment horizontal="center"/>
      <protection/>
    </xf>
    <xf numFmtId="0" fontId="0" fillId="0" borderId="0" xfId="34" applyBorder="1">
      <alignment/>
      <protection/>
    </xf>
    <xf numFmtId="0" fontId="0" fillId="0" borderId="0" xfId="34" applyAlignment="1">
      <alignment horizontal="center"/>
      <protection/>
    </xf>
    <xf numFmtId="0" fontId="0" fillId="34" borderId="0" xfId="34" applyFill="1" applyBorder="1" applyAlignment="1">
      <alignment horizontal="center"/>
      <protection/>
    </xf>
    <xf numFmtId="0" fontId="1" fillId="38" borderId="0" xfId="34" applyFont="1" applyFill="1" applyBorder="1" applyAlignment="1" applyProtection="1">
      <alignment horizontal="center"/>
      <protection locked="0"/>
    </xf>
    <xf numFmtId="0" fontId="1" fillId="38" borderId="18" xfId="34" applyFont="1" applyFill="1" applyBorder="1" applyAlignment="1" applyProtection="1">
      <alignment horizontal="center"/>
      <protection locked="0"/>
    </xf>
    <xf numFmtId="0" fontId="0" fillId="0" borderId="0" xfId="34" applyBorder="1" applyAlignment="1">
      <alignment horizontal="center"/>
      <protection/>
    </xf>
    <xf numFmtId="0" fontId="0" fillId="0" borderId="0" xfId="34" quotePrefix="1">
      <alignment/>
      <protection/>
    </xf>
    <xf numFmtId="0" fontId="74" fillId="0" borderId="23" xfId="0" applyFont="1" applyFill="1" applyBorder="1" applyAlignment="1">
      <alignment horizontal="center"/>
    </xf>
    <xf numFmtId="0" fontId="74" fillId="0" borderId="11" xfId="0" applyFont="1" applyFill="1" applyBorder="1" applyAlignment="1">
      <alignment horizontal="center"/>
    </xf>
    <xf numFmtId="0" fontId="2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 wrapText="1"/>
    </xf>
    <xf numFmtId="0" fontId="13" fillId="0" borderId="21" xfId="0" applyFont="1" applyFill="1" applyBorder="1" applyAlignment="1">
      <alignment/>
    </xf>
    <xf numFmtId="171" fontId="0" fillId="0" borderId="0" xfId="33" applyFont="1" applyAlignment="1">
      <alignment/>
    </xf>
    <xf numFmtId="0" fontId="14" fillId="0" borderId="20" xfId="0" applyFont="1" applyFill="1" applyBorder="1" applyAlignment="1">
      <alignment/>
    </xf>
    <xf numFmtId="0" fontId="31" fillId="0" borderId="0" xfId="0" applyFont="1" applyFill="1" applyBorder="1" applyAlignment="1">
      <alignment horizontal="left" wrapText="1"/>
    </xf>
    <xf numFmtId="0" fontId="0" fillId="0" borderId="20" xfId="0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left"/>
    </xf>
    <xf numFmtId="0" fontId="28" fillId="0" borderId="0" xfId="34" applyFont="1" applyAlignment="1">
      <alignment horizontal="center" vertical="top"/>
      <protection/>
    </xf>
    <xf numFmtId="0" fontId="19" fillId="0" borderId="12" xfId="34" applyFont="1" applyBorder="1" applyAlignment="1">
      <alignment horizontal="left" vertical="center"/>
      <protection/>
    </xf>
    <xf numFmtId="0" fontId="3" fillId="0" borderId="27" xfId="0" applyFont="1" applyBorder="1" applyAlignment="1">
      <alignment/>
    </xf>
    <xf numFmtId="0" fontId="3" fillId="0" borderId="43" xfId="34" applyFont="1" applyBorder="1" applyAlignment="1">
      <alignment wrapText="1"/>
      <protection/>
    </xf>
    <xf numFmtId="0" fontId="3" fillId="0" borderId="16" xfId="34" applyFont="1" applyBorder="1">
      <alignment/>
      <protection/>
    </xf>
    <xf numFmtId="0" fontId="30" fillId="0" borderId="0" xfId="34" applyFont="1" applyFill="1" applyBorder="1" applyAlignment="1">
      <alignment horizontal="left" wrapText="1"/>
      <protection/>
    </xf>
    <xf numFmtId="0" fontId="0" fillId="0" borderId="0" xfId="35" applyFont="1" applyBorder="1" applyAlignment="1">
      <alignment vertical="center"/>
      <protection/>
    </xf>
    <xf numFmtId="0" fontId="75" fillId="0" borderId="13" xfId="0" applyFont="1" applyFill="1" applyBorder="1" applyAlignment="1">
      <alignment/>
    </xf>
    <xf numFmtId="0" fontId="75" fillId="0" borderId="26" xfId="0" applyFont="1" applyFill="1" applyBorder="1" applyAlignment="1">
      <alignment horizontal="center"/>
    </xf>
    <xf numFmtId="0" fontId="75" fillId="0" borderId="13" xfId="0" applyFont="1" applyFill="1" applyBorder="1" applyAlignment="1">
      <alignment horizontal="center"/>
    </xf>
    <xf numFmtId="0" fontId="75" fillId="0" borderId="12" xfId="0" applyFont="1" applyFill="1" applyBorder="1" applyAlignment="1">
      <alignment horizontal="center"/>
    </xf>
    <xf numFmtId="0" fontId="75" fillId="0" borderId="14" xfId="0" applyFont="1" applyFill="1" applyBorder="1" applyAlignment="1">
      <alignment/>
    </xf>
    <xf numFmtId="0" fontId="75" fillId="0" borderId="14" xfId="0" applyFont="1" applyFill="1" applyBorder="1" applyAlignment="1">
      <alignment horizontal="center"/>
    </xf>
    <xf numFmtId="0" fontId="29" fillId="33" borderId="41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0" fontId="35" fillId="37" borderId="41" xfId="0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wrapText="1"/>
    </xf>
    <xf numFmtId="0" fontId="0" fillId="0" borderId="21" xfId="0" applyBorder="1" applyAlignment="1">
      <alignment/>
    </xf>
    <xf numFmtId="0" fontId="0" fillId="0" borderId="20" xfId="0" applyFill="1" applyBorder="1" applyAlignment="1">
      <alignment horizontal="left" wrapText="1"/>
    </xf>
    <xf numFmtId="0" fontId="14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20" xfId="0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31" fillId="0" borderId="18" xfId="0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 2" xfId="34"/>
    <cellStyle name="Normal_P141 cortec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showGridLines="0" showRowColHeaders="0" tabSelected="1" zoomScalePageLayoutView="0" workbookViewId="0" topLeftCell="A1">
      <selection activeCell="A2" sqref="A2"/>
    </sheetView>
  </sheetViews>
  <sheetFormatPr defaultColWidth="9.140625" defaultRowHeight="12.75"/>
  <cols>
    <col min="1" max="1" width="38.28125" style="0" customWidth="1"/>
    <col min="2" max="2" width="26.140625" style="0" bestFit="1" customWidth="1"/>
    <col min="3" max="3" width="3.28125" style="0" customWidth="1"/>
    <col min="4" max="4" width="1.7109375" style="0" customWidth="1"/>
    <col min="5" max="5" width="3.28125" style="0" customWidth="1"/>
    <col min="6" max="6" width="1.7109375" style="0" customWidth="1"/>
    <col min="7" max="7" width="2.00390625" style="0" bestFit="1" customWidth="1"/>
    <col min="8" max="8" width="1.7109375" style="0" customWidth="1"/>
    <col min="9" max="9" width="2.00390625" style="0" bestFit="1" customWidth="1"/>
    <col min="10" max="10" width="1.7109375" style="0" customWidth="1"/>
    <col min="11" max="11" width="3.28125" style="0" customWidth="1"/>
    <col min="12" max="12" width="1.7109375" style="0" customWidth="1"/>
    <col min="13" max="13" width="3.28125" style="0" customWidth="1"/>
    <col min="14" max="14" width="1.7109375" style="0" customWidth="1"/>
    <col min="15" max="15" width="3.28125" style="0" customWidth="1"/>
    <col min="16" max="16" width="1.7109375" style="0" customWidth="1"/>
    <col min="17" max="17" width="3.28125" style="0" customWidth="1"/>
    <col min="18" max="18" width="1.7109375" style="0" customWidth="1"/>
    <col min="19" max="19" width="3.28125" style="0" customWidth="1"/>
    <col min="20" max="20" width="1.7109375" style="0" customWidth="1"/>
    <col min="21" max="21" width="3.28125" style="0" customWidth="1"/>
    <col min="22" max="22" width="1.7109375" style="0" customWidth="1"/>
    <col min="23" max="23" width="3.8515625" style="0" customWidth="1"/>
    <col min="24" max="24" width="6.7109375" style="0" customWidth="1"/>
  </cols>
  <sheetData>
    <row r="1" spans="1:25" ht="24">
      <c r="A1" s="296" t="s">
        <v>138</v>
      </c>
      <c r="B1" s="305"/>
      <c r="D1" s="306"/>
      <c r="E1" s="297" t="s">
        <v>120</v>
      </c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8"/>
      <c r="T1" s="307"/>
      <c r="U1" s="308"/>
      <c r="V1" s="307"/>
      <c r="W1" s="309"/>
      <c r="X1" s="14"/>
      <c r="Y1" s="4"/>
    </row>
    <row r="2" spans="1:25" ht="18.75">
      <c r="A2" s="305"/>
      <c r="B2" s="305"/>
      <c r="D2" s="306"/>
      <c r="E2" s="352" t="s">
        <v>139</v>
      </c>
      <c r="F2" s="353"/>
      <c r="G2" s="307"/>
      <c r="H2" s="307"/>
      <c r="I2" s="307"/>
      <c r="J2" s="307"/>
      <c r="K2" s="307"/>
      <c r="L2" s="307"/>
      <c r="M2" s="307"/>
      <c r="N2" s="307"/>
      <c r="O2" s="354"/>
      <c r="P2" s="307"/>
      <c r="Q2" s="307"/>
      <c r="R2" s="307"/>
      <c r="S2" s="308"/>
      <c r="T2" s="307"/>
      <c r="U2" s="308"/>
      <c r="V2" s="307"/>
      <c r="W2" s="309"/>
      <c r="X2" s="14"/>
      <c r="Y2" s="4"/>
    </row>
    <row r="3" spans="1:25" ht="15">
      <c r="A3" s="300"/>
      <c r="B3" s="14"/>
      <c r="C3" s="30"/>
      <c r="D3" s="14"/>
      <c r="E3" s="30"/>
      <c r="F3" s="14"/>
      <c r="G3" s="30"/>
      <c r="H3" s="14"/>
      <c r="I3" s="30"/>
      <c r="J3" s="14"/>
      <c r="K3" s="30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4"/>
    </row>
    <row r="4" spans="1:25" ht="15">
      <c r="A4" s="300"/>
      <c r="B4" s="31"/>
      <c r="C4" s="30"/>
      <c r="D4" s="31"/>
      <c r="E4" s="30"/>
      <c r="F4" s="31"/>
      <c r="G4" s="30"/>
      <c r="H4" s="31"/>
      <c r="I4" s="30"/>
      <c r="J4" s="31"/>
      <c r="K4" s="30"/>
      <c r="L4" s="31"/>
      <c r="M4" s="14"/>
      <c r="N4" s="31"/>
      <c r="O4" s="14"/>
      <c r="P4" s="31"/>
      <c r="Q4" s="14"/>
      <c r="R4" s="31"/>
      <c r="S4" s="14"/>
      <c r="T4" s="31"/>
      <c r="U4" s="14"/>
      <c r="V4" s="31"/>
      <c r="W4" s="14"/>
      <c r="X4" s="14"/>
      <c r="Y4" s="4"/>
    </row>
    <row r="5" spans="1:25" ht="15.75" thickBot="1">
      <c r="A5" s="300"/>
      <c r="B5" s="14"/>
      <c r="C5" s="30"/>
      <c r="D5" s="14"/>
      <c r="E5" s="30"/>
      <c r="F5" s="14"/>
      <c r="G5" s="30"/>
      <c r="H5" s="14"/>
      <c r="I5" s="30"/>
      <c r="J5" s="14"/>
      <c r="K5" s="30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4"/>
    </row>
    <row r="6" spans="1:25" ht="20.25" thickBot="1" thickTop="1">
      <c r="A6" s="328" t="s">
        <v>140</v>
      </c>
      <c r="B6" s="329" t="s">
        <v>21</v>
      </c>
      <c r="C6" s="378">
        <v>3</v>
      </c>
      <c r="D6" s="378"/>
      <c r="E6" s="376"/>
      <c r="F6" s="376"/>
      <c r="G6" s="378">
        <v>0</v>
      </c>
      <c r="H6" s="378"/>
      <c r="I6" s="378">
        <v>0</v>
      </c>
      <c r="J6" s="378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21"/>
      <c r="X6" s="320"/>
      <c r="Y6" s="4"/>
    </row>
    <row r="7" spans="1:25" ht="15" thickTop="1">
      <c r="A7" s="355"/>
      <c r="B7" s="30"/>
      <c r="C7" s="68"/>
      <c r="D7" s="65"/>
      <c r="E7" s="301"/>
      <c r="F7" s="302"/>
      <c r="G7" s="68"/>
      <c r="H7" s="65"/>
      <c r="I7" s="301"/>
      <c r="J7" s="302"/>
      <c r="K7" s="68"/>
      <c r="L7" s="65"/>
      <c r="M7" s="302"/>
      <c r="N7" s="302"/>
      <c r="O7" s="65"/>
      <c r="P7" s="65"/>
      <c r="Q7" s="302"/>
      <c r="R7" s="302"/>
      <c r="S7" s="65"/>
      <c r="T7" s="65"/>
      <c r="U7" s="302"/>
      <c r="V7" s="302"/>
      <c r="W7" s="65"/>
      <c r="X7" s="14"/>
      <c r="Y7" s="4"/>
    </row>
    <row r="8" spans="1:25" ht="15.75">
      <c r="A8" s="322" t="s">
        <v>141</v>
      </c>
      <c r="B8" s="14"/>
      <c r="C8" s="68"/>
      <c r="D8" s="65"/>
      <c r="E8" s="301"/>
      <c r="F8" s="302"/>
      <c r="G8" s="68"/>
      <c r="H8" s="65"/>
      <c r="I8" s="301"/>
      <c r="J8" s="302"/>
      <c r="K8" s="68"/>
      <c r="L8" s="65"/>
      <c r="M8" s="302"/>
      <c r="N8" s="302"/>
      <c r="O8" s="65"/>
      <c r="P8" s="65"/>
      <c r="Q8" s="302"/>
      <c r="R8" s="302"/>
      <c r="S8" s="65"/>
      <c r="T8" s="65"/>
      <c r="U8" s="302"/>
      <c r="V8" s="302"/>
      <c r="W8" s="65"/>
      <c r="X8" s="14"/>
      <c r="Y8" s="4"/>
    </row>
    <row r="9" spans="1:25" ht="14.25">
      <c r="A9" s="356" t="s">
        <v>142</v>
      </c>
      <c r="B9" s="36"/>
      <c r="C9" s="377">
        <v>3</v>
      </c>
      <c r="D9" s="377"/>
      <c r="E9" s="301"/>
      <c r="F9" s="302"/>
      <c r="G9" s="68"/>
      <c r="H9" s="65"/>
      <c r="I9" s="301"/>
      <c r="J9" s="302"/>
      <c r="K9" s="68"/>
      <c r="L9" s="65"/>
      <c r="M9" s="302"/>
      <c r="N9" s="302"/>
      <c r="O9" s="65"/>
      <c r="P9" s="65"/>
      <c r="Q9" s="302"/>
      <c r="R9" s="302"/>
      <c r="S9" s="65"/>
      <c r="T9" s="65"/>
      <c r="U9" s="302"/>
      <c r="V9" s="302"/>
      <c r="W9" s="65"/>
      <c r="X9" s="14"/>
      <c r="Y9" s="4"/>
    </row>
    <row r="10" spans="1:25" ht="15.75">
      <c r="A10" s="323" t="s">
        <v>143</v>
      </c>
      <c r="B10" s="14"/>
      <c r="C10" s="30"/>
      <c r="D10" s="14"/>
      <c r="E10" s="301"/>
      <c r="F10" s="302"/>
      <c r="G10" s="68"/>
      <c r="H10" s="65"/>
      <c r="I10" s="301"/>
      <c r="J10" s="302"/>
      <c r="K10" s="68"/>
      <c r="L10" s="65"/>
      <c r="M10" s="302"/>
      <c r="N10" s="302"/>
      <c r="O10" s="65"/>
      <c r="P10" s="65"/>
      <c r="Q10" s="302"/>
      <c r="R10" s="302"/>
      <c r="S10" s="65"/>
      <c r="T10" s="65"/>
      <c r="U10" s="302"/>
      <c r="V10" s="302"/>
      <c r="W10" s="65"/>
      <c r="X10" s="14"/>
      <c r="Y10" s="4"/>
    </row>
    <row r="11" spans="1:25" ht="12.75">
      <c r="A11" s="310" t="s">
        <v>144</v>
      </c>
      <c r="B11" s="36"/>
      <c r="C11" s="38"/>
      <c r="D11" s="36"/>
      <c r="E11" s="377" t="s">
        <v>1</v>
      </c>
      <c r="F11" s="377"/>
      <c r="G11" s="68"/>
      <c r="H11" s="65"/>
      <c r="I11" s="301"/>
      <c r="J11" s="302"/>
      <c r="K11" s="68"/>
      <c r="L11" s="65"/>
      <c r="M11" s="302"/>
      <c r="N11" s="302"/>
      <c r="O11" s="65"/>
      <c r="P11" s="65"/>
      <c r="Q11" s="302"/>
      <c r="R11" s="302"/>
      <c r="S11" s="65"/>
      <c r="T11" s="65"/>
      <c r="U11" s="302"/>
      <c r="V11" s="302"/>
      <c r="W11" s="65"/>
      <c r="X11" s="14"/>
      <c r="Y11" s="4"/>
    </row>
    <row r="12" spans="1:26" ht="12.75">
      <c r="A12" s="314" t="s">
        <v>145</v>
      </c>
      <c r="B12" s="26"/>
      <c r="C12" s="40"/>
      <c r="D12" s="26"/>
      <c r="E12" s="379" t="s">
        <v>2</v>
      </c>
      <c r="F12" s="379"/>
      <c r="G12" s="68"/>
      <c r="H12" s="65"/>
      <c r="I12" s="301"/>
      <c r="J12" s="302"/>
      <c r="K12" s="68"/>
      <c r="L12" s="65"/>
      <c r="M12" s="302"/>
      <c r="N12" s="302"/>
      <c r="O12" s="65"/>
      <c r="P12" s="65"/>
      <c r="Q12" s="302"/>
      <c r="R12" s="302"/>
      <c r="S12" s="65"/>
      <c r="T12" s="65"/>
      <c r="U12" s="302"/>
      <c r="V12" s="302"/>
      <c r="W12" s="65"/>
      <c r="X12" s="14"/>
      <c r="Y12" s="4"/>
      <c r="Z12" s="357"/>
    </row>
    <row r="13" spans="1:25" ht="12.75">
      <c r="A13" s="314" t="s">
        <v>146</v>
      </c>
      <c r="B13" s="26"/>
      <c r="C13" s="40"/>
      <c r="D13" s="26"/>
      <c r="E13" s="379" t="s">
        <v>3</v>
      </c>
      <c r="F13" s="379"/>
      <c r="G13" s="68"/>
      <c r="H13" s="65"/>
      <c r="I13" s="301"/>
      <c r="J13" s="302"/>
      <c r="K13" s="68"/>
      <c r="L13" s="65"/>
      <c r="M13" s="302"/>
      <c r="N13" s="302"/>
      <c r="O13" s="65"/>
      <c r="P13" s="65"/>
      <c r="Q13" s="302"/>
      <c r="R13" s="302"/>
      <c r="S13" s="65"/>
      <c r="T13" s="65"/>
      <c r="U13" s="302"/>
      <c r="V13" s="302"/>
      <c r="W13" s="65"/>
      <c r="X13" s="14"/>
      <c r="Y13" s="4"/>
    </row>
    <row r="14" spans="1:25" ht="15.75">
      <c r="A14" s="323" t="s">
        <v>147</v>
      </c>
      <c r="B14" s="322" t="s">
        <v>148</v>
      </c>
      <c r="C14" s="30"/>
      <c r="D14" s="14"/>
      <c r="E14" s="130"/>
      <c r="F14" s="41"/>
      <c r="G14" s="68"/>
      <c r="H14" s="65"/>
      <c r="I14" s="301"/>
      <c r="J14" s="302"/>
      <c r="K14" s="68"/>
      <c r="L14" s="65"/>
      <c r="M14" s="302"/>
      <c r="N14" s="302"/>
      <c r="O14" s="65"/>
      <c r="P14" s="65"/>
      <c r="Q14" s="302"/>
      <c r="R14" s="302"/>
      <c r="S14" s="65"/>
      <c r="T14" s="65"/>
      <c r="U14" s="302"/>
      <c r="V14" s="302"/>
      <c r="W14" s="65"/>
      <c r="X14" s="14"/>
      <c r="Y14" s="4"/>
    </row>
    <row r="15" spans="1:25" ht="12.75">
      <c r="A15" s="310" t="s">
        <v>30</v>
      </c>
      <c r="B15" s="381" t="s">
        <v>184</v>
      </c>
      <c r="C15" s="382"/>
      <c r="D15" s="382"/>
      <c r="E15" s="382"/>
      <c r="F15" s="382"/>
      <c r="G15" s="382"/>
      <c r="H15" s="382"/>
      <c r="I15" s="38"/>
      <c r="J15" s="36"/>
      <c r="K15" s="377" t="s">
        <v>19</v>
      </c>
      <c r="L15" s="377"/>
      <c r="M15" s="302"/>
      <c r="N15" s="302"/>
      <c r="O15" s="65"/>
      <c r="P15" s="65"/>
      <c r="Q15" s="302"/>
      <c r="R15" s="302"/>
      <c r="S15" s="65"/>
      <c r="T15" s="65"/>
      <c r="U15" s="302"/>
      <c r="V15" s="302"/>
      <c r="W15" s="65"/>
      <c r="X15" s="14"/>
      <c r="Y15" s="4"/>
    </row>
    <row r="16" spans="1:25" ht="12.75">
      <c r="A16" s="315" t="s">
        <v>30</v>
      </c>
      <c r="B16" s="383" t="s">
        <v>185</v>
      </c>
      <c r="C16" s="383"/>
      <c r="D16" s="383"/>
      <c r="E16" s="383"/>
      <c r="F16" s="383"/>
      <c r="G16" s="383"/>
      <c r="H16" s="383"/>
      <c r="I16" s="383"/>
      <c r="J16" s="383"/>
      <c r="K16" s="380" t="s">
        <v>17</v>
      </c>
      <c r="L16" s="380"/>
      <c r="M16" s="302"/>
      <c r="N16" s="302"/>
      <c r="O16" s="65"/>
      <c r="P16" s="65"/>
      <c r="Q16" s="302"/>
      <c r="R16" s="302"/>
      <c r="S16" s="65"/>
      <c r="T16" s="65"/>
      <c r="U16" s="302"/>
      <c r="V16" s="302"/>
      <c r="W16" s="65"/>
      <c r="X16" s="14"/>
      <c r="Y16" s="4"/>
    </row>
    <row r="17" spans="1:25" ht="12.75">
      <c r="A17" s="314" t="s">
        <v>30</v>
      </c>
      <c r="B17" s="387" t="s">
        <v>186</v>
      </c>
      <c r="C17" s="387"/>
      <c r="D17" s="387"/>
      <c r="E17" s="387"/>
      <c r="F17" s="387"/>
      <c r="G17" s="387"/>
      <c r="H17" s="387"/>
      <c r="I17" s="387"/>
      <c r="J17" s="387"/>
      <c r="K17" s="379" t="s">
        <v>34</v>
      </c>
      <c r="L17" s="379"/>
      <c r="M17" s="302"/>
      <c r="N17" s="302"/>
      <c r="O17" s="65"/>
      <c r="P17" s="65"/>
      <c r="Q17" s="302"/>
      <c r="R17" s="302"/>
      <c r="S17" s="65"/>
      <c r="T17" s="65"/>
      <c r="U17" s="302"/>
      <c r="V17" s="302"/>
      <c r="W17" s="65"/>
      <c r="X17" s="14"/>
      <c r="Y17" s="4"/>
    </row>
    <row r="18" spans="1:25" ht="12.75">
      <c r="A18" s="314" t="s">
        <v>30</v>
      </c>
      <c r="B18" s="383" t="s">
        <v>187</v>
      </c>
      <c r="C18" s="388"/>
      <c r="D18" s="388"/>
      <c r="E18" s="388"/>
      <c r="F18" s="388"/>
      <c r="G18" s="388"/>
      <c r="H18" s="388"/>
      <c r="I18" s="40"/>
      <c r="J18" s="26"/>
      <c r="K18" s="379" t="s">
        <v>35</v>
      </c>
      <c r="L18" s="379"/>
      <c r="M18" s="302"/>
      <c r="N18" s="302"/>
      <c r="O18" s="65"/>
      <c r="P18" s="65"/>
      <c r="Q18" s="302"/>
      <c r="R18" s="302"/>
      <c r="S18" s="65"/>
      <c r="T18" s="65"/>
      <c r="U18" s="302"/>
      <c r="V18" s="302"/>
      <c r="W18" s="65"/>
      <c r="X18" s="14"/>
      <c r="Y18" s="4"/>
    </row>
    <row r="19" spans="1:25" ht="12.75">
      <c r="A19" s="314" t="s">
        <v>118</v>
      </c>
      <c r="B19" s="314" t="s">
        <v>69</v>
      </c>
      <c r="C19" s="40"/>
      <c r="D19" s="26"/>
      <c r="E19" s="40"/>
      <c r="F19" s="26"/>
      <c r="G19" s="40"/>
      <c r="H19" s="26"/>
      <c r="I19" s="40"/>
      <c r="J19" s="26"/>
      <c r="K19" s="379" t="s">
        <v>87</v>
      </c>
      <c r="L19" s="379"/>
      <c r="M19" s="302"/>
      <c r="N19" s="302"/>
      <c r="O19" s="65"/>
      <c r="P19" s="65"/>
      <c r="Q19" s="302"/>
      <c r="R19" s="302"/>
      <c r="S19" s="65"/>
      <c r="T19" s="65"/>
      <c r="U19" s="302"/>
      <c r="V19" s="302"/>
      <c r="W19" s="65"/>
      <c r="X19" s="14"/>
      <c r="Y19" s="4"/>
    </row>
    <row r="20" spans="1:25" ht="15.75">
      <c r="A20" s="323" t="s">
        <v>149</v>
      </c>
      <c r="B20" s="14"/>
      <c r="C20" s="30"/>
      <c r="D20" s="14"/>
      <c r="E20" s="30"/>
      <c r="F20" s="14"/>
      <c r="G20" s="30"/>
      <c r="H20" s="14"/>
      <c r="I20" s="30"/>
      <c r="J20" s="14"/>
      <c r="K20" s="30"/>
      <c r="L20" s="14"/>
      <c r="M20" s="302"/>
      <c r="N20" s="302"/>
      <c r="O20" s="65"/>
      <c r="P20" s="65"/>
      <c r="Q20" s="302"/>
      <c r="R20" s="302"/>
      <c r="S20" s="65"/>
      <c r="T20" s="65"/>
      <c r="U20" s="302"/>
      <c r="V20" s="302"/>
      <c r="W20" s="65"/>
      <c r="X20" s="14"/>
      <c r="Y20" s="4"/>
    </row>
    <row r="21" spans="1:25" ht="14.25">
      <c r="A21" s="325" t="s">
        <v>9</v>
      </c>
      <c r="B21" s="326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77">
        <v>1</v>
      </c>
      <c r="N21" s="377"/>
      <c r="O21" s="65"/>
      <c r="P21" s="303"/>
      <c r="Q21" s="302"/>
      <c r="R21" s="304"/>
      <c r="S21" s="65"/>
      <c r="T21" s="303"/>
      <c r="U21" s="302"/>
      <c r="V21" s="304"/>
      <c r="W21" s="65"/>
      <c r="X21" s="14"/>
      <c r="Y21" s="4"/>
    </row>
    <row r="22" spans="1:25" ht="12.75">
      <c r="A22" s="26" t="s">
        <v>97</v>
      </c>
      <c r="B22" s="26"/>
      <c r="C22" s="40"/>
      <c r="D22" s="26"/>
      <c r="E22" s="40"/>
      <c r="F22" s="26"/>
      <c r="G22" s="40"/>
      <c r="H22" s="26"/>
      <c r="I22" s="40"/>
      <c r="J22" s="26"/>
      <c r="K22" s="40"/>
      <c r="L22" s="26"/>
      <c r="M22" s="379">
        <v>2</v>
      </c>
      <c r="N22" s="379"/>
      <c r="O22" s="65"/>
      <c r="P22" s="65"/>
      <c r="Q22" s="302"/>
      <c r="R22" s="302"/>
      <c r="S22" s="65"/>
      <c r="T22" s="65"/>
      <c r="U22" s="302"/>
      <c r="V22" s="302"/>
      <c r="W22" s="65"/>
      <c r="X22" s="14"/>
      <c r="Y22" s="4"/>
    </row>
    <row r="23" spans="1:25" ht="12.75">
      <c r="A23" s="26" t="s">
        <v>100</v>
      </c>
      <c r="B23" s="26"/>
      <c r="C23" s="40"/>
      <c r="D23" s="26"/>
      <c r="E23" s="40"/>
      <c r="F23" s="26"/>
      <c r="G23" s="40"/>
      <c r="H23" s="26"/>
      <c r="I23" s="40"/>
      <c r="J23" s="26"/>
      <c r="K23" s="40"/>
      <c r="L23" s="26"/>
      <c r="M23" s="379">
        <v>3</v>
      </c>
      <c r="N23" s="379"/>
      <c r="O23" s="65"/>
      <c r="P23" s="65"/>
      <c r="Q23" s="302"/>
      <c r="R23" s="302"/>
      <c r="S23" s="65"/>
      <c r="T23" s="65"/>
      <c r="U23" s="302"/>
      <c r="V23" s="302"/>
      <c r="W23" s="65"/>
      <c r="X23" s="14"/>
      <c r="Y23" s="4"/>
    </row>
    <row r="24" spans="1:25" ht="12.75">
      <c r="A24" s="26" t="s">
        <v>39</v>
      </c>
      <c r="B24" s="26"/>
      <c r="C24" s="40"/>
      <c r="D24" s="26"/>
      <c r="E24" s="40"/>
      <c r="F24" s="26"/>
      <c r="G24" s="40"/>
      <c r="H24" s="26"/>
      <c r="I24" s="40"/>
      <c r="J24" s="26"/>
      <c r="K24" s="40"/>
      <c r="L24" s="26"/>
      <c r="M24" s="379">
        <v>4</v>
      </c>
      <c r="N24" s="379"/>
      <c r="O24" s="65"/>
      <c r="P24" s="65"/>
      <c r="Q24" s="302"/>
      <c r="R24" s="302"/>
      <c r="S24" s="65"/>
      <c r="T24" s="65"/>
      <c r="U24" s="302"/>
      <c r="V24" s="302"/>
      <c r="W24" s="65"/>
      <c r="X24" s="14"/>
      <c r="Y24" s="4"/>
    </row>
    <row r="25" spans="1:25" ht="15.75">
      <c r="A25" s="323" t="s">
        <v>150</v>
      </c>
      <c r="B25" s="14"/>
      <c r="C25" s="30"/>
      <c r="D25" s="14"/>
      <c r="E25" s="30"/>
      <c r="F25" s="14"/>
      <c r="G25" s="30"/>
      <c r="H25" s="14"/>
      <c r="I25" s="30"/>
      <c r="J25" s="14"/>
      <c r="K25" s="30"/>
      <c r="L25" s="14"/>
      <c r="M25" s="14"/>
      <c r="N25" s="14"/>
      <c r="O25" s="65"/>
      <c r="P25" s="65"/>
      <c r="Q25" s="302"/>
      <c r="R25" s="302"/>
      <c r="S25" s="65"/>
      <c r="T25" s="65"/>
      <c r="U25" s="302"/>
      <c r="V25" s="302"/>
      <c r="W25" s="65"/>
      <c r="X25" s="14"/>
      <c r="Y25" s="4"/>
    </row>
    <row r="26" spans="1:25" ht="12.75">
      <c r="A26" s="325" t="s">
        <v>151</v>
      </c>
      <c r="B26" s="36"/>
      <c r="C26" s="38"/>
      <c r="D26" s="36"/>
      <c r="E26" s="38"/>
      <c r="F26" s="36"/>
      <c r="G26" s="38"/>
      <c r="H26" s="36"/>
      <c r="I26" s="38"/>
      <c r="J26" s="36"/>
      <c r="K26" s="38"/>
      <c r="L26" s="36"/>
      <c r="M26" s="36"/>
      <c r="N26" s="36"/>
      <c r="O26" s="377">
        <v>0</v>
      </c>
      <c r="P26" s="377"/>
      <c r="Q26" s="301"/>
      <c r="R26" s="302"/>
      <c r="S26" s="65"/>
      <c r="T26" s="65"/>
      <c r="U26" s="302"/>
      <c r="V26" s="302"/>
      <c r="W26" s="65"/>
      <c r="X26" s="14"/>
      <c r="Y26" s="4"/>
    </row>
    <row r="27" spans="1:25" ht="12.75">
      <c r="A27" s="26" t="s">
        <v>152</v>
      </c>
      <c r="B27" s="26"/>
      <c r="C27" s="40"/>
      <c r="D27" s="26"/>
      <c r="E27" s="40"/>
      <c r="F27" s="26"/>
      <c r="G27" s="40"/>
      <c r="H27" s="26"/>
      <c r="I27" s="40"/>
      <c r="J27" s="26"/>
      <c r="K27" s="40"/>
      <c r="L27" s="26"/>
      <c r="M27" s="26"/>
      <c r="N27" s="26"/>
      <c r="O27" s="379">
        <v>1</v>
      </c>
      <c r="P27" s="379"/>
      <c r="Q27" s="301"/>
      <c r="R27" s="302"/>
      <c r="S27" s="65"/>
      <c r="T27" s="65"/>
      <c r="U27" s="302"/>
      <c r="V27" s="302"/>
      <c r="W27" s="65"/>
      <c r="X27" s="14"/>
      <c r="Y27" s="4"/>
    </row>
    <row r="28" spans="1:25" ht="12.75">
      <c r="A28" s="26" t="s">
        <v>153</v>
      </c>
      <c r="B28" s="26"/>
      <c r="C28" s="40"/>
      <c r="D28" s="26"/>
      <c r="E28" s="40"/>
      <c r="F28" s="26"/>
      <c r="G28" s="40"/>
      <c r="H28" s="26"/>
      <c r="I28" s="40"/>
      <c r="J28" s="26"/>
      <c r="K28" s="40"/>
      <c r="L28" s="26"/>
      <c r="M28" s="26"/>
      <c r="N28" s="26"/>
      <c r="O28" s="379">
        <v>2</v>
      </c>
      <c r="P28" s="379"/>
      <c r="Q28" s="301"/>
      <c r="R28" s="302"/>
      <c r="S28" s="65"/>
      <c r="T28" s="65"/>
      <c r="U28" s="302"/>
      <c r="V28" s="302"/>
      <c r="W28" s="65"/>
      <c r="X28" s="14"/>
      <c r="Y28" s="4"/>
    </row>
    <row r="29" spans="1:25" ht="12.75">
      <c r="A29" s="26" t="s">
        <v>154</v>
      </c>
      <c r="B29" s="26"/>
      <c r="C29" s="40"/>
      <c r="D29" s="26"/>
      <c r="E29" s="40"/>
      <c r="F29" s="26"/>
      <c r="G29" s="40"/>
      <c r="H29" s="26"/>
      <c r="I29" s="40"/>
      <c r="J29" s="26"/>
      <c r="K29" s="40"/>
      <c r="L29" s="26"/>
      <c r="M29" s="26"/>
      <c r="N29" s="26"/>
      <c r="O29" s="379">
        <v>3</v>
      </c>
      <c r="P29" s="379"/>
      <c r="Q29" s="301"/>
      <c r="R29" s="302"/>
      <c r="S29" s="65"/>
      <c r="T29" s="65"/>
      <c r="U29" s="302"/>
      <c r="V29" s="302"/>
      <c r="W29" s="65"/>
      <c r="X29" s="14"/>
      <c r="Y29" s="4"/>
    </row>
    <row r="30" spans="1:25" ht="12.75">
      <c r="A30" s="26" t="s">
        <v>155</v>
      </c>
      <c r="B30" s="26"/>
      <c r="C30" s="40"/>
      <c r="D30" s="26"/>
      <c r="E30" s="40"/>
      <c r="F30" s="26"/>
      <c r="G30" s="40"/>
      <c r="H30" s="26"/>
      <c r="I30" s="40"/>
      <c r="J30" s="26"/>
      <c r="K30" s="40"/>
      <c r="L30" s="26"/>
      <c r="M30" s="26"/>
      <c r="N30" s="26"/>
      <c r="O30" s="379">
        <v>4</v>
      </c>
      <c r="P30" s="379"/>
      <c r="Q30" s="301"/>
      <c r="R30" s="302"/>
      <c r="S30" s="65"/>
      <c r="T30" s="65"/>
      <c r="U30" s="302"/>
      <c r="V30" s="302"/>
      <c r="W30" s="65"/>
      <c r="X30" s="14"/>
      <c r="Y30" s="4"/>
    </row>
    <row r="31" spans="1:25" ht="12.75">
      <c r="A31" s="26" t="s">
        <v>156</v>
      </c>
      <c r="B31" s="26"/>
      <c r="C31" s="40"/>
      <c r="D31" s="26"/>
      <c r="E31" s="40"/>
      <c r="F31" s="26"/>
      <c r="G31" s="40"/>
      <c r="H31" s="26"/>
      <c r="I31" s="40"/>
      <c r="J31" s="26"/>
      <c r="K31" s="40"/>
      <c r="L31" s="26"/>
      <c r="M31" s="26"/>
      <c r="N31" s="26"/>
      <c r="O31" s="379">
        <v>5</v>
      </c>
      <c r="P31" s="379"/>
      <c r="Q31" s="301"/>
      <c r="R31" s="302"/>
      <c r="S31" s="65"/>
      <c r="T31" s="65"/>
      <c r="U31" s="302"/>
      <c r="V31" s="302"/>
      <c r="W31" s="65"/>
      <c r="X31" s="14"/>
      <c r="Y31" s="4"/>
    </row>
    <row r="32" spans="1:25" ht="12.75">
      <c r="A32" s="26" t="s">
        <v>157</v>
      </c>
      <c r="B32" s="26"/>
      <c r="C32" s="40"/>
      <c r="D32" s="26"/>
      <c r="E32" s="40"/>
      <c r="F32" s="26"/>
      <c r="G32" s="40"/>
      <c r="H32" s="26"/>
      <c r="I32" s="40"/>
      <c r="J32" s="26"/>
      <c r="K32" s="40"/>
      <c r="L32" s="26"/>
      <c r="M32" s="26"/>
      <c r="N32" s="26"/>
      <c r="O32" s="379">
        <v>6</v>
      </c>
      <c r="P32" s="379"/>
      <c r="Q32" s="301"/>
      <c r="R32" s="302"/>
      <c r="S32" s="65"/>
      <c r="T32" s="65"/>
      <c r="U32" s="302"/>
      <c r="V32" s="302"/>
      <c r="W32" s="65"/>
      <c r="X32" s="14"/>
      <c r="Y32" s="4"/>
    </row>
    <row r="33" spans="1:25" ht="14.25">
      <c r="A33" s="358" t="s">
        <v>158</v>
      </c>
      <c r="B33" s="26"/>
      <c r="C33" s="40"/>
      <c r="D33" s="26"/>
      <c r="E33" s="40"/>
      <c r="F33" s="26"/>
      <c r="G33" s="40"/>
      <c r="H33" s="26"/>
      <c r="I33" s="40"/>
      <c r="J33" s="26"/>
      <c r="K33" s="40"/>
      <c r="L33" s="26"/>
      <c r="M33" s="26"/>
      <c r="N33" s="26"/>
      <c r="O33" s="379">
        <v>7</v>
      </c>
      <c r="P33" s="379"/>
      <c r="Q33" s="311"/>
      <c r="R33" s="302"/>
      <c r="S33" s="65"/>
      <c r="T33" s="65"/>
      <c r="U33" s="302"/>
      <c r="V33" s="302"/>
      <c r="W33" s="65"/>
      <c r="X33" s="14"/>
      <c r="Y33" s="4"/>
    </row>
    <row r="34" spans="1:25" ht="12.75">
      <c r="A34" s="26" t="s">
        <v>159</v>
      </c>
      <c r="B34" s="26"/>
      <c r="C34" s="40"/>
      <c r="D34" s="26"/>
      <c r="E34" s="40"/>
      <c r="F34" s="26"/>
      <c r="G34" s="40"/>
      <c r="H34" s="26"/>
      <c r="I34" s="40"/>
      <c r="J34" s="26"/>
      <c r="K34" s="40"/>
      <c r="L34" s="26"/>
      <c r="M34" s="26"/>
      <c r="N34" s="26"/>
      <c r="O34" s="379">
        <v>8</v>
      </c>
      <c r="P34" s="379"/>
      <c r="Q34" s="312"/>
      <c r="R34" s="302"/>
      <c r="S34" s="65"/>
      <c r="T34" s="65"/>
      <c r="U34" s="302"/>
      <c r="V34" s="302"/>
      <c r="W34" s="65"/>
      <c r="X34" s="14"/>
      <c r="Y34" s="4"/>
    </row>
    <row r="35" spans="1:25" ht="12.75">
      <c r="A35" s="26" t="s">
        <v>160</v>
      </c>
      <c r="B35" s="26"/>
      <c r="C35" s="40"/>
      <c r="D35" s="26"/>
      <c r="E35" s="40"/>
      <c r="F35" s="26"/>
      <c r="G35" s="40"/>
      <c r="H35" s="26"/>
      <c r="I35" s="40"/>
      <c r="J35" s="26"/>
      <c r="K35" s="40"/>
      <c r="L35" s="26"/>
      <c r="M35" s="26"/>
      <c r="N35" s="26"/>
      <c r="O35" s="379" t="s">
        <v>1</v>
      </c>
      <c r="P35" s="379"/>
      <c r="Q35" s="312"/>
      <c r="R35" s="302"/>
      <c r="S35" s="65"/>
      <c r="T35" s="65"/>
      <c r="U35" s="302"/>
      <c r="V35" s="302"/>
      <c r="W35" s="65"/>
      <c r="X35" s="14"/>
      <c r="Y35" s="4"/>
    </row>
    <row r="36" spans="1:25" ht="12.75">
      <c r="A36" s="26" t="s">
        <v>161</v>
      </c>
      <c r="B36" s="26"/>
      <c r="C36" s="40"/>
      <c r="D36" s="26"/>
      <c r="E36" s="40"/>
      <c r="F36" s="26"/>
      <c r="G36" s="40"/>
      <c r="H36" s="26"/>
      <c r="I36" s="40"/>
      <c r="J36" s="26"/>
      <c r="K36" s="40"/>
      <c r="L36" s="26"/>
      <c r="M36" s="26"/>
      <c r="N36" s="26"/>
      <c r="O36" s="379" t="s">
        <v>2</v>
      </c>
      <c r="P36" s="379"/>
      <c r="Q36" s="312"/>
      <c r="R36" s="302"/>
      <c r="S36" s="65"/>
      <c r="T36" s="65"/>
      <c r="U36" s="302"/>
      <c r="V36" s="302"/>
      <c r="W36" s="65"/>
      <c r="X36" s="14"/>
      <c r="Y36" s="4"/>
    </row>
    <row r="37" spans="1:25" ht="14.25">
      <c r="A37" s="358" t="s">
        <v>162</v>
      </c>
      <c r="B37" s="26"/>
      <c r="C37" s="40"/>
      <c r="D37" s="26"/>
      <c r="E37" s="40"/>
      <c r="F37" s="26"/>
      <c r="G37" s="40"/>
      <c r="H37" s="26"/>
      <c r="I37" s="40"/>
      <c r="J37" s="26"/>
      <c r="K37" s="40"/>
      <c r="L37" s="26"/>
      <c r="M37" s="26"/>
      <c r="N37" s="26"/>
      <c r="O37" s="379" t="s">
        <v>3</v>
      </c>
      <c r="P37" s="379"/>
      <c r="Q37" s="312"/>
      <c r="R37" s="302"/>
      <c r="S37" s="65"/>
      <c r="T37" s="65"/>
      <c r="U37" s="302"/>
      <c r="V37" s="302"/>
      <c r="W37" s="65"/>
      <c r="X37" s="14"/>
      <c r="Y37" s="4"/>
    </row>
    <row r="38" spans="1:25" ht="12.75">
      <c r="A38" s="26" t="s">
        <v>163</v>
      </c>
      <c r="B38" s="26"/>
      <c r="C38" s="40"/>
      <c r="D38" s="26"/>
      <c r="E38" s="40"/>
      <c r="F38" s="26"/>
      <c r="G38" s="40"/>
      <c r="H38" s="26"/>
      <c r="I38" s="40"/>
      <c r="J38" s="26"/>
      <c r="K38" s="40"/>
      <c r="L38" s="26"/>
      <c r="M38" s="26"/>
      <c r="N38" s="26"/>
      <c r="O38" s="379" t="s">
        <v>42</v>
      </c>
      <c r="P38" s="379"/>
      <c r="Q38" s="313"/>
      <c r="R38" s="302"/>
      <c r="S38" s="65"/>
      <c r="T38" s="65"/>
      <c r="U38" s="302"/>
      <c r="V38" s="302"/>
      <c r="W38" s="65"/>
      <c r="X38" s="14"/>
      <c r="Y38" s="4"/>
    </row>
    <row r="39" spans="1:25" ht="14.25">
      <c r="A39" s="358" t="s">
        <v>164</v>
      </c>
      <c r="B39" s="26"/>
      <c r="C39" s="40"/>
      <c r="D39" s="26"/>
      <c r="E39" s="40"/>
      <c r="F39" s="26"/>
      <c r="G39" s="40"/>
      <c r="H39" s="26"/>
      <c r="I39" s="40"/>
      <c r="J39" s="26"/>
      <c r="K39" s="40"/>
      <c r="L39" s="26"/>
      <c r="M39" s="26"/>
      <c r="N39" s="26"/>
      <c r="O39" s="379" t="s">
        <v>51</v>
      </c>
      <c r="P39" s="379"/>
      <c r="Q39" s="312"/>
      <c r="R39" s="302"/>
      <c r="S39" s="65"/>
      <c r="T39" s="65"/>
      <c r="U39" s="302"/>
      <c r="V39" s="302"/>
      <c r="W39" s="65"/>
      <c r="X39" s="14"/>
      <c r="Y39" s="4"/>
    </row>
    <row r="40" spans="1:25" ht="13.5">
      <c r="A40" s="359" t="s">
        <v>165</v>
      </c>
      <c r="B40" s="14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14"/>
      <c r="N40" s="14"/>
      <c r="O40" s="14"/>
      <c r="P40" s="14"/>
      <c r="Q40" s="312"/>
      <c r="R40" s="302"/>
      <c r="S40" s="65"/>
      <c r="T40" s="65"/>
      <c r="U40" s="302"/>
      <c r="V40" s="302"/>
      <c r="W40" s="65"/>
      <c r="X40" s="14"/>
      <c r="Y40" s="4"/>
    </row>
    <row r="41" spans="1:25" ht="12.75">
      <c r="A41" s="330" t="s">
        <v>119</v>
      </c>
      <c r="B41" s="36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6"/>
      <c r="N41" s="36"/>
      <c r="O41" s="324"/>
      <c r="P41" s="36"/>
      <c r="Q41" s="377">
        <v>2</v>
      </c>
      <c r="R41" s="377"/>
      <c r="S41" s="65"/>
      <c r="T41" s="65"/>
      <c r="U41" s="302"/>
      <c r="V41" s="302"/>
      <c r="W41" s="65"/>
      <c r="X41" s="14"/>
      <c r="Y41" s="4"/>
    </row>
    <row r="42" spans="1:25" ht="25.5" customHeight="1">
      <c r="A42" s="386" t="s">
        <v>166</v>
      </c>
      <c r="B42" s="386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26"/>
      <c r="N42" s="26"/>
      <c r="O42" s="316"/>
      <c r="P42" s="26"/>
      <c r="Q42" s="379">
        <v>3</v>
      </c>
      <c r="R42" s="379"/>
      <c r="S42" s="65"/>
      <c r="T42" s="65"/>
      <c r="U42" s="302"/>
      <c r="V42" s="302"/>
      <c r="W42" s="65"/>
      <c r="X42" s="14"/>
      <c r="Y42" s="4"/>
    </row>
    <row r="43" spans="1:25" ht="13.5">
      <c r="A43" s="359" t="s">
        <v>167</v>
      </c>
      <c r="B43" s="14"/>
      <c r="C43" s="30"/>
      <c r="D43" s="14"/>
      <c r="E43" s="30"/>
      <c r="F43" s="14"/>
      <c r="G43" s="30"/>
      <c r="H43" s="14"/>
      <c r="I43" s="30"/>
      <c r="J43" s="14"/>
      <c r="K43" s="30"/>
      <c r="L43" s="14"/>
      <c r="M43" s="14"/>
      <c r="N43" s="14"/>
      <c r="O43" s="14"/>
      <c r="P43" s="14"/>
      <c r="Q43" s="14"/>
      <c r="R43" s="14"/>
      <c r="S43" s="65"/>
      <c r="T43" s="65"/>
      <c r="U43" s="302"/>
      <c r="V43" s="302"/>
      <c r="W43" s="65"/>
      <c r="X43" s="14"/>
      <c r="Y43" s="4"/>
    </row>
    <row r="44" spans="1:25" ht="12.75">
      <c r="A44" s="330" t="s">
        <v>54</v>
      </c>
      <c r="B44" s="36"/>
      <c r="C44" s="38"/>
      <c r="D44" s="36"/>
      <c r="E44" s="38"/>
      <c r="F44" s="36"/>
      <c r="G44" s="38"/>
      <c r="H44" s="36"/>
      <c r="I44" s="38"/>
      <c r="J44" s="36"/>
      <c r="K44" s="38"/>
      <c r="L44" s="36"/>
      <c r="M44" s="36"/>
      <c r="N44" s="36"/>
      <c r="O44" s="36"/>
      <c r="P44" s="36"/>
      <c r="Q44" s="36"/>
      <c r="R44" s="36"/>
      <c r="S44" s="377" t="s">
        <v>55</v>
      </c>
      <c r="T44" s="377"/>
      <c r="U44" s="302"/>
      <c r="V44" s="302"/>
      <c r="W44" s="65"/>
      <c r="X44" s="14"/>
      <c r="Y44" s="4"/>
    </row>
    <row r="45" spans="1:25" ht="27" customHeight="1">
      <c r="A45" s="389" t="s">
        <v>168</v>
      </c>
      <c r="B45" s="389"/>
      <c r="C45" s="30"/>
      <c r="D45" s="14"/>
      <c r="E45" s="30"/>
      <c r="F45" s="14"/>
      <c r="G45" s="30"/>
      <c r="H45" s="14"/>
      <c r="I45" s="30"/>
      <c r="J45" s="14"/>
      <c r="K45" s="30"/>
      <c r="L45" s="14"/>
      <c r="M45" s="14"/>
      <c r="N45" s="14"/>
      <c r="O45" s="14"/>
      <c r="P45" s="14"/>
      <c r="Q45" s="14"/>
      <c r="R45" s="14"/>
      <c r="S45" s="14"/>
      <c r="T45" s="14"/>
      <c r="U45" s="302"/>
      <c r="V45" s="302"/>
      <c r="W45" s="65"/>
      <c r="X45" s="14"/>
      <c r="Y45" s="4"/>
    </row>
    <row r="46" spans="1:25" ht="12.75">
      <c r="A46" s="330" t="s">
        <v>54</v>
      </c>
      <c r="B46" s="36"/>
      <c r="C46" s="38"/>
      <c r="D46" s="36"/>
      <c r="E46" s="38"/>
      <c r="F46" s="36"/>
      <c r="G46" s="38"/>
      <c r="H46" s="36"/>
      <c r="I46" s="38"/>
      <c r="J46" s="36"/>
      <c r="K46" s="38"/>
      <c r="L46" s="36"/>
      <c r="M46" s="36"/>
      <c r="N46" s="36"/>
      <c r="O46" s="36"/>
      <c r="P46" s="36"/>
      <c r="Q46" s="36"/>
      <c r="R46" s="36"/>
      <c r="S46" s="36"/>
      <c r="T46" s="36"/>
      <c r="U46" s="377" t="s">
        <v>55</v>
      </c>
      <c r="V46" s="377"/>
      <c r="W46" s="65"/>
      <c r="X46" s="14"/>
      <c r="Y46" s="4"/>
    </row>
    <row r="47" spans="1:25" ht="15.75">
      <c r="A47" s="323" t="s">
        <v>169</v>
      </c>
      <c r="B47" s="14"/>
      <c r="C47" s="30"/>
      <c r="D47" s="14"/>
      <c r="E47" s="30"/>
      <c r="F47" s="14"/>
      <c r="G47" s="30"/>
      <c r="H47" s="14"/>
      <c r="I47" s="30"/>
      <c r="J47" s="14"/>
      <c r="K47" s="30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65"/>
      <c r="X47" s="14"/>
      <c r="Y47" s="4"/>
    </row>
    <row r="48" spans="1:25" ht="14.25">
      <c r="A48" s="330" t="s">
        <v>170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17">
        <v>0</v>
      </c>
      <c r="X48" s="14"/>
      <c r="Y48" s="4"/>
    </row>
    <row r="49" spans="1:25" ht="25.5" customHeight="1">
      <c r="A49" s="385" t="s">
        <v>171</v>
      </c>
      <c r="B49" s="385"/>
      <c r="C49" s="385"/>
      <c r="D49" s="385"/>
      <c r="E49" s="38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318">
        <v>1</v>
      </c>
      <c r="X49" s="14"/>
      <c r="Y49" s="4"/>
    </row>
    <row r="50" spans="1:25" ht="27" customHeight="1">
      <c r="A50" s="384" t="s">
        <v>172</v>
      </c>
      <c r="B50" s="384"/>
      <c r="C50" s="384"/>
      <c r="D50" s="384"/>
      <c r="E50" s="384"/>
      <c r="F50" s="384"/>
      <c r="G50" s="384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318">
        <v>2</v>
      </c>
      <c r="X50" s="14"/>
      <c r="Y50" s="4"/>
    </row>
    <row r="51" spans="1:25" ht="25.5" customHeight="1">
      <c r="A51" s="385" t="s">
        <v>173</v>
      </c>
      <c r="B51" s="385"/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60"/>
      <c r="N51" s="360"/>
      <c r="O51" s="360"/>
      <c r="P51" s="360"/>
      <c r="Q51" s="360"/>
      <c r="R51" s="360"/>
      <c r="S51" s="360"/>
      <c r="T51" s="360"/>
      <c r="U51" s="360"/>
      <c r="V51" s="26"/>
      <c r="W51" s="319">
        <v>3</v>
      </c>
      <c r="X51" s="14"/>
      <c r="Y51" s="4"/>
    </row>
    <row r="52" spans="1:25" ht="14.25">
      <c r="A52" s="361"/>
      <c r="B52" s="34"/>
      <c r="C52" s="39"/>
      <c r="D52" s="34"/>
      <c r="E52" s="39"/>
      <c r="F52" s="34"/>
      <c r="G52" s="39"/>
      <c r="H52" s="34"/>
      <c r="I52" s="39"/>
      <c r="J52" s="34"/>
      <c r="K52" s="39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14"/>
      <c r="Y52" s="4"/>
    </row>
    <row r="53" spans="1:25" ht="15.75">
      <c r="A53" s="323" t="s">
        <v>174</v>
      </c>
      <c r="B53" s="14"/>
      <c r="C53" s="30"/>
      <c r="D53" s="14"/>
      <c r="E53" s="30"/>
      <c r="F53" s="14"/>
      <c r="G53" s="30"/>
      <c r="H53" s="14"/>
      <c r="I53" s="30"/>
      <c r="J53" s="14"/>
      <c r="K53" s="30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4"/>
    </row>
    <row r="54" spans="1:25" ht="14.25">
      <c r="A54" s="362" t="s">
        <v>175</v>
      </c>
      <c r="B54" s="288"/>
      <c r="C54" s="30"/>
      <c r="D54" s="14"/>
      <c r="E54" s="30"/>
      <c r="F54" s="14"/>
      <c r="G54" s="30"/>
      <c r="H54" s="14"/>
      <c r="I54" s="30"/>
      <c r="J54" s="14"/>
      <c r="K54" s="30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4"/>
    </row>
    <row r="55" spans="1:25" ht="14.25">
      <c r="A55" s="362" t="s">
        <v>176</v>
      </c>
      <c r="B55" s="288"/>
      <c r="C55" s="30"/>
      <c r="D55" s="14"/>
      <c r="E55" s="30"/>
      <c r="F55" s="14"/>
      <c r="G55" s="30"/>
      <c r="H55" s="14"/>
      <c r="I55" s="30"/>
      <c r="J55" s="14"/>
      <c r="K55" s="30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4"/>
    </row>
    <row r="56" spans="1:25" ht="14.25">
      <c r="A56" s="362" t="s">
        <v>177</v>
      </c>
      <c r="B56" s="288"/>
      <c r="C56" s="30"/>
      <c r="D56" s="14"/>
      <c r="E56" s="30"/>
      <c r="F56" s="14"/>
      <c r="G56" s="30"/>
      <c r="H56" s="14"/>
      <c r="I56" s="30"/>
      <c r="J56" s="14"/>
      <c r="K56" s="30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4"/>
    </row>
    <row r="57" spans="1:25" ht="14.25">
      <c r="A57" s="362" t="s">
        <v>178</v>
      </c>
      <c r="B57" s="288"/>
      <c r="C57" s="30"/>
      <c r="D57" s="14"/>
      <c r="E57" s="30"/>
      <c r="F57" s="14"/>
      <c r="G57" s="30"/>
      <c r="H57" s="14"/>
      <c r="I57" s="30"/>
      <c r="J57" s="14"/>
      <c r="K57" s="30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4"/>
    </row>
    <row r="58" spans="1:25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</sheetData>
  <sheetProtection password="DFED" sheet="1" objects="1" scenarios="1"/>
  <mergeCells count="50">
    <mergeCell ref="B17:J17"/>
    <mergeCell ref="B18:H18"/>
    <mergeCell ref="S44:T44"/>
    <mergeCell ref="A45:B45"/>
    <mergeCell ref="U46:V46"/>
    <mergeCell ref="A49:E49"/>
    <mergeCell ref="O31:P31"/>
    <mergeCell ref="O32:P32"/>
    <mergeCell ref="O33:P33"/>
    <mergeCell ref="O34:P34"/>
    <mergeCell ref="A50:G50"/>
    <mergeCell ref="A51:L51"/>
    <mergeCell ref="O37:P37"/>
    <mergeCell ref="O38:P38"/>
    <mergeCell ref="O39:P39"/>
    <mergeCell ref="Q41:R41"/>
    <mergeCell ref="A42:B42"/>
    <mergeCell ref="Q42:R42"/>
    <mergeCell ref="O35:P35"/>
    <mergeCell ref="O36:P36"/>
    <mergeCell ref="M24:N24"/>
    <mergeCell ref="O26:P26"/>
    <mergeCell ref="O27:P27"/>
    <mergeCell ref="O28:P28"/>
    <mergeCell ref="O29:P29"/>
    <mergeCell ref="O30:P30"/>
    <mergeCell ref="K17:L17"/>
    <mergeCell ref="K18:L18"/>
    <mergeCell ref="K19:L19"/>
    <mergeCell ref="M21:N21"/>
    <mergeCell ref="M22:N22"/>
    <mergeCell ref="M23:N23"/>
    <mergeCell ref="E12:F12"/>
    <mergeCell ref="E13:F13"/>
    <mergeCell ref="K15:L15"/>
    <mergeCell ref="K16:L16"/>
    <mergeCell ref="B15:H15"/>
    <mergeCell ref="B16:J16"/>
    <mergeCell ref="C9:D9"/>
    <mergeCell ref="E11:F11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29"/>
  <sheetViews>
    <sheetView showGridLines="0" showRowColHeaders="0" zoomScalePageLayoutView="0" workbookViewId="0" topLeftCell="A1">
      <pane ySplit="7" topLeftCell="A8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73.00390625" style="2" customWidth="1"/>
    <col min="2" max="2" width="6.8515625" style="2" customWidth="1"/>
    <col min="3" max="3" width="3.57421875" style="2" customWidth="1"/>
    <col min="4" max="4" width="3.140625" style="2" bestFit="1" customWidth="1"/>
    <col min="5" max="6" width="2.8515625" style="2" bestFit="1" customWidth="1"/>
    <col min="7" max="7" width="3.140625" style="2" bestFit="1" customWidth="1"/>
    <col min="8" max="9" width="2.8515625" style="2" bestFit="1" customWidth="1"/>
    <col min="10" max="10" width="2.8515625" style="28" customWidth="1"/>
    <col min="11" max="11" width="2.8515625" style="2" bestFit="1" customWidth="1"/>
    <col min="12" max="12" width="3.140625" style="2" bestFit="1" customWidth="1"/>
    <col min="13" max="13" width="3.140625" style="2" customWidth="1"/>
    <col min="14" max="14" width="12.7109375" style="2" customWidth="1"/>
    <col min="15" max="16384" width="9.140625" style="2" customWidth="1"/>
  </cols>
  <sheetData>
    <row r="1" spans="1:14" s="3" customFormat="1" ht="24">
      <c r="A1" s="296" t="s">
        <v>138</v>
      </c>
      <c r="B1" s="297" t="s">
        <v>120</v>
      </c>
      <c r="C1" s="2"/>
      <c r="D1" s="2"/>
      <c r="E1" s="2"/>
      <c r="F1" s="2"/>
      <c r="G1" s="2"/>
      <c r="H1" s="2"/>
      <c r="I1" s="2"/>
      <c r="J1" s="28"/>
      <c r="K1" s="2"/>
      <c r="L1" s="2"/>
      <c r="M1" s="2"/>
      <c r="N1" s="290"/>
    </row>
    <row r="2" spans="1:13" s="3" customFormat="1" ht="18.75">
      <c r="A2" s="2"/>
      <c r="B2" s="363" t="s">
        <v>179</v>
      </c>
      <c r="C2" s="2"/>
      <c r="D2" s="2"/>
      <c r="E2" s="2"/>
      <c r="F2" s="2"/>
      <c r="G2" s="2"/>
      <c r="H2" s="2"/>
      <c r="I2" s="2"/>
      <c r="J2" s="28"/>
      <c r="K2" s="2"/>
      <c r="L2" s="2"/>
      <c r="M2" s="2"/>
    </row>
    <row r="3" spans="1:13" s="3" customFormat="1" ht="18.75" thickBot="1">
      <c r="A3" s="298"/>
      <c r="B3" s="299"/>
      <c r="C3" s="299"/>
      <c r="D3" s="290"/>
      <c r="E3" s="290"/>
      <c r="F3" s="290"/>
      <c r="G3" s="290"/>
      <c r="H3" s="290"/>
      <c r="I3" s="290"/>
      <c r="J3" s="291"/>
      <c r="K3" s="290"/>
      <c r="L3" s="290"/>
      <c r="M3" s="290"/>
    </row>
    <row r="4" spans="1:13" s="6" customFormat="1" ht="12" thickBot="1">
      <c r="A4" s="295"/>
      <c r="B4" s="16" t="s">
        <v>22</v>
      </c>
      <c r="C4" s="16">
        <v>4</v>
      </c>
      <c r="D4" s="16">
        <v>5</v>
      </c>
      <c r="E4" s="16">
        <v>6</v>
      </c>
      <c r="F4" s="292">
        <v>7</v>
      </c>
      <c r="G4" s="292">
        <v>8</v>
      </c>
      <c r="H4" s="292">
        <v>9</v>
      </c>
      <c r="I4" s="292">
        <v>10</v>
      </c>
      <c r="J4" s="293">
        <v>11</v>
      </c>
      <c r="K4" s="294" t="str">
        <f>VLOOKUP(Database!$C$2,Database!$A$3:$F$5,4)</f>
        <v>12</v>
      </c>
      <c r="L4" s="294" t="str">
        <f>VLOOKUP(Database!$C$2,Database!$A$3:$F$5,5)</f>
        <v>13</v>
      </c>
      <c r="M4" s="225" t="str">
        <f>VLOOKUP(Database!$C$2,Database!$A$3:$F$5,6)</f>
        <v>14</v>
      </c>
    </row>
    <row r="5" spans="1:13" s="3" customFormat="1" ht="18.75" thickBot="1">
      <c r="A5" s="207" t="s">
        <v>142</v>
      </c>
      <c r="B5" s="53" t="s">
        <v>21</v>
      </c>
      <c r="C5" s="63">
        <v>3</v>
      </c>
      <c r="D5" s="221" t="str">
        <f>$B$9</f>
        <v>B</v>
      </c>
      <c r="E5" s="54">
        <v>0</v>
      </c>
      <c r="F5" s="54">
        <v>0</v>
      </c>
      <c r="G5" s="221" t="str">
        <f>$B$11</f>
        <v>Z</v>
      </c>
      <c r="H5" s="222">
        <f>$B$13</f>
        <v>1</v>
      </c>
      <c r="I5" s="221">
        <f>$B$15</f>
        <v>0</v>
      </c>
      <c r="J5" s="223" t="str">
        <f>$B$17</f>
        <v>2</v>
      </c>
      <c r="K5" s="221" t="str">
        <f>MID($B$19,1,1)</f>
        <v>E</v>
      </c>
      <c r="L5" s="221" t="str">
        <f>MID($B$19,2,1)</f>
        <v>A</v>
      </c>
      <c r="M5" s="224">
        <f>$B$21</f>
        <v>0</v>
      </c>
    </row>
    <row r="6" spans="1:17" ht="39.75" customHeight="1" hidden="1">
      <c r="A6" s="29" t="s">
        <v>46</v>
      </c>
      <c r="B6" s="23">
        <f ca="1">TODAY()</f>
        <v>42794</v>
      </c>
      <c r="C6" s="135"/>
      <c r="D6" s="136"/>
      <c r="E6" s="24"/>
      <c r="F6" s="25"/>
      <c r="G6" s="137"/>
      <c r="H6" s="138"/>
      <c r="I6" s="141"/>
      <c r="J6" s="59"/>
      <c r="K6" s="140"/>
      <c r="L6" s="139"/>
      <c r="M6" s="205"/>
      <c r="N6" s="3"/>
      <c r="O6" s="3"/>
      <c r="P6" s="3"/>
      <c r="Q6" s="3"/>
    </row>
    <row r="7" spans="1:13" s="3" customFormat="1" ht="18">
      <c r="A7" s="364" t="s">
        <v>180</v>
      </c>
      <c r="B7" s="198" t="str">
        <f>CONCATENATE("E12",C5,D5,E5,F5,G5,H5,I5,J5,K5,L5,M5)</f>
        <v>E123B00Z102EA0</v>
      </c>
      <c r="C7" s="199"/>
      <c r="D7" s="200"/>
      <c r="E7" s="201"/>
      <c r="F7" s="202"/>
      <c r="G7" s="203"/>
      <c r="H7" s="204"/>
      <c r="I7" s="266"/>
      <c r="J7" s="240"/>
      <c r="K7" s="279"/>
      <c r="L7" s="266"/>
      <c r="M7" s="248"/>
    </row>
    <row r="8" spans="1:13" s="3" customFormat="1" ht="18">
      <c r="A8" s="5" t="s">
        <v>143</v>
      </c>
      <c r="B8" s="226"/>
      <c r="C8" s="227"/>
      <c r="D8" s="228"/>
      <c r="E8" s="233"/>
      <c r="F8" s="234"/>
      <c r="G8" s="259"/>
      <c r="H8" s="233"/>
      <c r="I8" s="267"/>
      <c r="J8" s="233"/>
      <c r="K8" s="263"/>
      <c r="L8" s="267"/>
      <c r="M8" s="249"/>
    </row>
    <row r="9" spans="1:13" ht="32.25" customHeight="1">
      <c r="A9" s="13"/>
      <c r="B9" s="220" t="str">
        <f>VLOOKUP(Tendering!$B$9,Database!$A$12:$C$14,3,FALSE)</f>
        <v>B</v>
      </c>
      <c r="C9" s="229"/>
      <c r="D9" s="230"/>
      <c r="E9" s="231"/>
      <c r="F9" s="232"/>
      <c r="G9" s="260"/>
      <c r="H9" s="235"/>
      <c r="I9" s="268"/>
      <c r="J9" s="235"/>
      <c r="K9" s="280"/>
      <c r="L9" s="268"/>
      <c r="M9" s="250"/>
    </row>
    <row r="10" spans="1:13" ht="18">
      <c r="A10" s="368" t="s">
        <v>181</v>
      </c>
      <c r="B10" s="263"/>
      <c r="C10" s="264"/>
      <c r="D10" s="264"/>
      <c r="E10" s="264"/>
      <c r="F10" s="264"/>
      <c r="G10" s="261"/>
      <c r="H10" s="235"/>
      <c r="I10" s="268"/>
      <c r="J10" s="235"/>
      <c r="K10" s="280"/>
      <c r="L10" s="268"/>
      <c r="M10" s="250"/>
    </row>
    <row r="11" spans="1:13" ht="42" customHeight="1">
      <c r="A11" s="11"/>
      <c r="B11" s="220" t="str">
        <f>VLOOKUP(Tendering!$B$12,Database!$A$24:$C$28,3,FALSE)</f>
        <v>Z</v>
      </c>
      <c r="C11" s="265"/>
      <c r="D11" s="265"/>
      <c r="E11" s="265"/>
      <c r="F11" s="265"/>
      <c r="G11" s="262"/>
      <c r="H11" s="235"/>
      <c r="I11" s="268"/>
      <c r="J11" s="235"/>
      <c r="K11" s="280"/>
      <c r="L11" s="268"/>
      <c r="M11" s="250"/>
    </row>
    <row r="12" spans="1:13" ht="18.75" customHeight="1">
      <c r="A12" s="365" t="s">
        <v>182</v>
      </c>
      <c r="B12" s="236"/>
      <c r="C12" s="237"/>
      <c r="D12" s="237"/>
      <c r="E12" s="237"/>
      <c r="F12" s="237"/>
      <c r="G12" s="237"/>
      <c r="H12" s="235"/>
      <c r="I12" s="268"/>
      <c r="J12" s="235"/>
      <c r="K12" s="280"/>
      <c r="L12" s="268"/>
      <c r="M12" s="250"/>
    </row>
    <row r="13" spans="1:13" ht="41.25" customHeight="1">
      <c r="A13" s="21"/>
      <c r="B13" s="220">
        <f>VLOOKUP(Tendering!$B$13,Database!$A$32:$C$35,3,FALSE)</f>
        <v>1</v>
      </c>
      <c r="C13" s="238"/>
      <c r="D13" s="239"/>
      <c r="E13" s="239"/>
      <c r="F13" s="239"/>
      <c r="G13" s="239"/>
      <c r="H13" s="232"/>
      <c r="I13" s="268"/>
      <c r="J13" s="235"/>
      <c r="K13" s="280"/>
      <c r="L13" s="268"/>
      <c r="M13" s="250"/>
    </row>
    <row r="14" spans="1:13" s="3" customFormat="1" ht="18">
      <c r="A14" s="365" t="s">
        <v>150</v>
      </c>
      <c r="B14" s="270"/>
      <c r="C14" s="271"/>
      <c r="D14" s="272"/>
      <c r="E14" s="272"/>
      <c r="F14" s="273"/>
      <c r="G14" s="274"/>
      <c r="H14" s="273"/>
      <c r="I14" s="267"/>
      <c r="J14" s="233"/>
      <c r="K14" s="263"/>
      <c r="L14" s="267"/>
      <c r="M14" s="249"/>
    </row>
    <row r="15" spans="1:13" s="3" customFormat="1" ht="138.75" customHeight="1">
      <c r="A15" s="15"/>
      <c r="B15" s="220">
        <f>VLOOKUP(Tendering!$B$14,Database!$A$38:$C$51,3,FALSE)</f>
        <v>0</v>
      </c>
      <c r="C15" s="275"/>
      <c r="D15" s="276"/>
      <c r="E15" s="276"/>
      <c r="F15" s="277"/>
      <c r="G15" s="278"/>
      <c r="H15" s="277"/>
      <c r="I15" s="269"/>
      <c r="J15" s="241"/>
      <c r="K15" s="263"/>
      <c r="L15" s="267"/>
      <c r="M15" s="249"/>
    </row>
    <row r="16" spans="1:13" s="3" customFormat="1" ht="18">
      <c r="A16" s="366" t="s">
        <v>165</v>
      </c>
      <c r="B16" s="243"/>
      <c r="C16" s="244"/>
      <c r="D16" s="244"/>
      <c r="E16" s="244"/>
      <c r="F16" s="141"/>
      <c r="G16" s="141"/>
      <c r="H16" s="141"/>
      <c r="I16" s="141"/>
      <c r="J16" s="139"/>
      <c r="K16" s="281"/>
      <c r="L16" s="138"/>
      <c r="M16" s="251"/>
    </row>
    <row r="17" spans="1:13" s="3" customFormat="1" ht="18">
      <c r="A17" s="5" t="str">
        <f>IF($B$15="D","Фаза II с крупным ЖК-дисплеем","Фаза II со стандартным дисплеем")</f>
        <v>Фаза II со стандартным дисплеем</v>
      </c>
      <c r="B17" s="220" t="str">
        <f>IF($B$15="D","3","2")</f>
        <v>2</v>
      </c>
      <c r="C17" s="245"/>
      <c r="D17" s="246"/>
      <c r="E17" s="246"/>
      <c r="F17" s="247"/>
      <c r="G17" s="247"/>
      <c r="H17" s="247"/>
      <c r="I17" s="247"/>
      <c r="J17" s="242"/>
      <c r="K17" s="281"/>
      <c r="L17" s="138"/>
      <c r="M17" s="251"/>
    </row>
    <row r="18" spans="1:13" s="3" customFormat="1" ht="18">
      <c r="A18" s="367" t="s">
        <v>183</v>
      </c>
      <c r="B18" s="284"/>
      <c r="C18" s="285"/>
      <c r="D18" s="272"/>
      <c r="E18" s="272"/>
      <c r="F18" s="273"/>
      <c r="G18" s="274"/>
      <c r="H18" s="273"/>
      <c r="I18" s="273"/>
      <c r="J18" s="273"/>
      <c r="K18" s="273"/>
      <c r="L18" s="267"/>
      <c r="M18" s="249"/>
    </row>
    <row r="19" spans="1:13" s="3" customFormat="1" ht="71.25" customHeight="1">
      <c r="A19" s="15"/>
      <c r="B19" s="219" t="str">
        <f>CONCATENATE(VLOOKUP(Tendering!$B$15,Database!$A$54:$E$60,4),VLOOKUP(Tendering!$B$15,Database!$A$54:$E$60,5))</f>
        <v>EA</v>
      </c>
      <c r="C19" s="286"/>
      <c r="D19" s="282"/>
      <c r="E19" s="282"/>
      <c r="F19" s="282"/>
      <c r="G19" s="282"/>
      <c r="H19" s="282"/>
      <c r="I19" s="282"/>
      <c r="J19" s="282"/>
      <c r="K19" s="282"/>
      <c r="L19" s="283"/>
      <c r="M19" s="252"/>
    </row>
    <row r="20" spans="1:13" s="3" customFormat="1" ht="18">
      <c r="A20" s="365" t="s">
        <v>169</v>
      </c>
      <c r="B20" s="243"/>
      <c r="C20" s="254"/>
      <c r="D20" s="254"/>
      <c r="E20" s="254"/>
      <c r="F20" s="254"/>
      <c r="G20" s="254"/>
      <c r="H20" s="254"/>
      <c r="I20" s="254"/>
      <c r="J20" s="254"/>
      <c r="K20" s="254"/>
      <c r="L20" s="255"/>
      <c r="M20" s="249"/>
    </row>
    <row r="21" spans="1:13" s="3" customFormat="1" ht="42" customHeight="1">
      <c r="A21" s="174"/>
      <c r="B21" s="218">
        <f>VLOOKUP(Tendering!$B$16,Database!$A$87:$C$90,3)</f>
        <v>0</v>
      </c>
      <c r="C21" s="256"/>
      <c r="D21" s="257"/>
      <c r="E21" s="257"/>
      <c r="F21" s="257"/>
      <c r="G21" s="257"/>
      <c r="H21" s="257"/>
      <c r="I21" s="257"/>
      <c r="J21" s="257"/>
      <c r="K21" s="257"/>
      <c r="L21" s="258"/>
      <c r="M21" s="253"/>
    </row>
    <row r="22" spans="1:13" ht="12.75">
      <c r="A22" s="289"/>
      <c r="B22" s="287"/>
      <c r="C22" s="287"/>
      <c r="D22" s="287"/>
      <c r="E22" s="287"/>
      <c r="F22" s="287"/>
      <c r="G22" s="287"/>
      <c r="H22" s="287"/>
      <c r="I22" s="287"/>
      <c r="J22" s="288"/>
      <c r="K22" s="287"/>
      <c r="L22" s="287"/>
      <c r="M22" s="289"/>
    </row>
    <row r="23" spans="1:13" ht="12.75">
      <c r="A23" s="287"/>
      <c r="B23" s="287"/>
      <c r="C23" s="287"/>
      <c r="D23" s="287"/>
      <c r="E23" s="287"/>
      <c r="F23" s="287"/>
      <c r="G23" s="287"/>
      <c r="H23" s="287"/>
      <c r="I23" s="287"/>
      <c r="J23" s="288"/>
      <c r="K23" s="287"/>
      <c r="L23" s="287"/>
      <c r="M23" s="287"/>
    </row>
    <row r="24" spans="1:13" ht="12.75">
      <c r="A24" s="287"/>
      <c r="B24" s="287"/>
      <c r="C24" s="287"/>
      <c r="D24" s="287"/>
      <c r="E24" s="287"/>
      <c r="F24" s="287"/>
      <c r="G24" s="287"/>
      <c r="H24" s="287"/>
      <c r="I24" s="287"/>
      <c r="J24" s="288"/>
      <c r="K24" s="287"/>
      <c r="L24" s="287"/>
      <c r="M24" s="287"/>
    </row>
    <row r="26" ht="12.75">
      <c r="A26" s="287"/>
    </row>
    <row r="27" ht="12.75">
      <c r="A27" s="287"/>
    </row>
    <row r="28" ht="12.75">
      <c r="A28" s="287"/>
    </row>
    <row r="29" ht="12.75">
      <c r="A29" s="287"/>
    </row>
  </sheetData>
  <sheetProtection password="DFED" sheet="1" objects="1" scenarios="1"/>
  <printOptions/>
  <pageMargins left="0.5511811023622047" right="0.3937007874015748" top="0.5905511811023623" bottom="0.4724409448818898" header="0.5118110236220472" footer="0.9055118110236221"/>
  <pageSetup fitToHeight="1" fitToWidth="1" horizontalDpi="600" verticalDpi="600" orientation="portrait" paperSize="9" scale="96" r:id="rId3"/>
  <headerFooter alignWithMargins="0">
    <oddFooter>&amp;L&amp;D&amp;R&amp;G</oddFooter>
  </headerFooter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21"/>
  <sheetViews>
    <sheetView showGridLines="0" showRowColHeaders="0" zoomScale="96" zoomScaleNormal="96" zoomScalePageLayoutView="0" workbookViewId="0" topLeftCell="A1">
      <selection activeCell="A18" sqref="A18"/>
    </sheetView>
  </sheetViews>
  <sheetFormatPr defaultColWidth="10.28125" defaultRowHeight="12.75"/>
  <cols>
    <col min="1" max="1" width="7.57421875" style="211" customWidth="1"/>
    <col min="2" max="2" width="2.28125" style="211" customWidth="1"/>
    <col min="3" max="3" width="4.28125" style="20" hidden="1" customWidth="1"/>
    <col min="4" max="4" width="109.8515625" style="211" customWidth="1"/>
    <col min="5" max="16384" width="10.28125" style="211" customWidth="1"/>
  </cols>
  <sheetData>
    <row r="1" ht="18">
      <c r="A1" s="208" t="str">
        <f>CONCATENATE(Configurator!$B$5,Configurator!$C$5,Configurator!$D$5,Configurator!$E$5,Configurator!$F$5,Configurator!$G$5,Configurator!$H$5,Configurator!$I$5,Configurator!$J$5,Configurator!$K$5,Configurator!$L$5,Configurator!$M$5)</f>
        <v>P123B00Z102EA0</v>
      </c>
    </row>
    <row r="2" ht="18">
      <c r="A2" s="208"/>
    </row>
    <row r="3" spans="1:4" ht="14.25">
      <c r="A3" s="121" t="str">
        <f>Configurator!$A$5</f>
        <v>Трехфазная защита и защита от ЗЗ</v>
      </c>
      <c r="B3" s="121"/>
      <c r="C3" s="212"/>
      <c r="D3" s="121"/>
    </row>
    <row r="4" spans="1:4" ht="14.25">
      <c r="A4" s="121"/>
      <c r="B4" s="121"/>
      <c r="C4" s="212"/>
      <c r="D4" s="121"/>
    </row>
    <row r="5" spans="1:3" ht="14.25">
      <c r="A5" s="213" t="str">
        <f>Configurator!$A$8</f>
        <v>Токовый вход для ТТНП:</v>
      </c>
      <c r="B5" s="214"/>
      <c r="C5" s="212"/>
    </row>
    <row r="6" spans="1:4" ht="14.25">
      <c r="A6" s="209" t="str">
        <f>CONCATENATE("  ",VLOOKUP(Tendering!$B$9,Database!$A$12:$B$14,2,FALSE))</f>
        <v>  0.01 - 8 x номинального тока</v>
      </c>
      <c r="C6" s="212"/>
      <c r="D6" s="209"/>
    </row>
    <row r="7" spans="1:3" ht="14.25">
      <c r="A7" s="213" t="s">
        <v>204</v>
      </c>
      <c r="B7" s="214"/>
      <c r="C7" s="212"/>
    </row>
    <row r="8" spans="1:4" ht="14.25">
      <c r="A8" s="209" t="str">
        <f>CONCATENATE("  ",VLOOKUP(Tendering!B11,Database!A17:B21,2,FALSE))</f>
        <v>  24 - 250 Vdc / 48 - 240 Vac</v>
      </c>
      <c r="C8" s="212"/>
      <c r="D8" s="209"/>
    </row>
    <row r="9" spans="1:3" ht="14.25">
      <c r="A9" s="369" t="s">
        <v>203</v>
      </c>
      <c r="B9" s="215"/>
      <c r="C9" s="212"/>
    </row>
    <row r="10" spans="1:4" ht="14.25">
      <c r="A10" s="209" t="str">
        <f>CONCATENATE("  ",VLOOKUP(Tendering!B12,Database!A24:B28,2,FALSE))</f>
        <v>  24 - 250 Vdc / 24 - 240 Vac</v>
      </c>
      <c r="C10" s="212"/>
      <c r="D10" s="209"/>
    </row>
    <row r="11" spans="1:3" ht="14.25">
      <c r="A11" s="213" t="str">
        <f>Configurator!$A$12</f>
        <v>Протокол связи: </v>
      </c>
      <c r="B11" s="214"/>
      <c r="C11" s="212"/>
    </row>
    <row r="12" spans="1:4" ht="14.25">
      <c r="A12" s="209" t="str">
        <f>CONCATENATE("  ",VLOOKUP(Tendering!B13,Database!A32:B35,2,FALSE))</f>
        <v>  MODBUS</v>
      </c>
      <c r="C12" s="212"/>
      <c r="D12" s="209"/>
    </row>
    <row r="13" spans="1:3" ht="14.25">
      <c r="A13" s="213" t="str">
        <f>Configurator!$A$14</f>
        <v>Язык:</v>
      </c>
      <c r="B13" s="214"/>
      <c r="C13" s="212"/>
    </row>
    <row r="14" spans="1:4" ht="14.25">
      <c r="A14" s="209" t="str">
        <f>CONCATENATE("  ",VLOOKUP(Tendering!B14,Database!A38:B51,2,FALSE))</f>
        <v>  Французский</v>
      </c>
      <c r="C14" s="209"/>
      <c r="D14" s="209"/>
    </row>
    <row r="15" spans="1:3" ht="14.25">
      <c r="A15" s="213" t="str">
        <f>Configurator!$A$16</f>
        <v>Платформа:</v>
      </c>
      <c r="B15" s="214"/>
      <c r="C15" s="212"/>
    </row>
    <row r="16" spans="1:4" ht="14.25">
      <c r="A16" s="210" t="str">
        <f>CONCATENATE("  ",Configurator!$A$17)</f>
        <v>  Фаза II со стандартным дисплеем</v>
      </c>
      <c r="B16" s="216"/>
      <c r="C16" s="210"/>
      <c r="D16" s="210"/>
    </row>
    <row r="17" spans="1:2" ht="14.25">
      <c r="A17" s="213" t="str">
        <f>Configurator!$A$18</f>
        <v>Версия программного обеспечения</v>
      </c>
      <c r="B17" s="212"/>
    </row>
    <row r="18" spans="1:4" ht="14.25">
      <c r="A18" s="122" t="str">
        <f>CONCATENATE("  ",VLOOKUP(Tendering!$B$15,Database!$A$54:$F$67,6))</f>
        <v>  V14.A</v>
      </c>
      <c r="D18" s="122"/>
    </row>
    <row r="19" spans="1:4" ht="14.25">
      <c r="A19" s="213" t="str">
        <f>Configurator!$A$20</f>
        <v>Тип монтажа:</v>
      </c>
      <c r="B19" s="122"/>
      <c r="D19" s="122"/>
    </row>
    <row r="20" spans="1:4" ht="14.25">
      <c r="A20" s="122" t="str">
        <f>CONCATENATE("  ",VLOOKUP(Tendering!$B$16,Database!$A$87:$C$90,2))</f>
        <v>  Нет (по умолчанию)</v>
      </c>
      <c r="D20" s="122"/>
    </row>
    <row r="21" ht="14.25">
      <c r="A21" s="217"/>
    </row>
    <row r="22" ht="14.25" customHeight="1"/>
    <row r="23" ht="14.25" customHeight="1"/>
    <row r="24" ht="27.7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42" ht="14.25" customHeight="1"/>
    <row r="43" ht="14.25" customHeight="1"/>
    <row r="46" ht="29.25" customHeight="1"/>
    <row r="47" ht="29.25" customHeight="1"/>
    <row r="51" ht="43.5" customHeight="1"/>
    <row r="52" ht="29.25" customHeight="1"/>
    <row r="53" ht="29.25" customHeight="1"/>
    <row r="55" ht="29.25" customHeight="1"/>
    <row r="57" ht="29.25" customHeight="1"/>
    <row r="60" ht="28.5" customHeight="1"/>
    <row r="62" ht="28.5" customHeight="1"/>
    <row r="63" ht="28.5" customHeight="1"/>
    <row r="64" ht="14.25" customHeight="1"/>
    <row r="65" ht="28.5" customHeight="1"/>
    <row r="68" ht="14.25" customHeight="1"/>
    <row r="69" ht="14.25" customHeight="1"/>
    <row r="70" ht="14.25" customHeight="1"/>
    <row r="71" ht="14.25" customHeight="1"/>
    <row r="75" ht="28.5" customHeight="1"/>
    <row r="77" ht="28.5" customHeight="1"/>
    <row r="79" ht="28.5" customHeight="1"/>
    <row r="80" ht="28.5" customHeight="1"/>
    <row r="81" ht="14.25" customHeight="1"/>
    <row r="82" ht="14.25" customHeight="1"/>
    <row r="83" ht="14.25" customHeight="1"/>
  </sheetData>
  <sheetProtection password="DFED" sheet="1" objects="1" scenarios="1"/>
  <printOptions/>
  <pageMargins left="0.17" right="0.19" top="1" bottom="1" header="0.5" footer="0.5"/>
  <pageSetup fitToHeight="0" fitToWidth="1" horizontalDpi="600" verticalDpi="600" orientation="portrait" paperSize="9" scale="89" r:id="rId1"/>
  <headerFooter alignWithMargins="0">
    <oddHeader>&amp;C&amp;A</oddHeader>
    <oddFooter>&amp;LPage &amp;P of &amp;N&amp;C&amp;F&amp;R&amp;D</oddFooter>
  </headerFooter>
  <rowBreaks count="2" manualBreakCount="2">
    <brk id="21" max="255" man="1"/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2:AO100"/>
  <sheetViews>
    <sheetView zoomScale="75" zoomScaleNormal="75" zoomScalePageLayoutView="0" workbookViewId="0" topLeftCell="A28">
      <selection activeCell="A62" sqref="A62"/>
    </sheetView>
  </sheetViews>
  <sheetFormatPr defaultColWidth="9.140625" defaultRowHeight="12.75"/>
  <cols>
    <col min="1" max="1" width="3.140625" style="68" bestFit="1" customWidth="1"/>
    <col min="2" max="2" width="54.00390625" style="65" bestFit="1" customWidth="1"/>
    <col min="3" max="3" width="20.8515625" style="68" bestFit="1" customWidth="1"/>
    <col min="4" max="4" width="29.00390625" style="65" bestFit="1" customWidth="1"/>
    <col min="5" max="5" width="26.140625" style="65" bestFit="1" customWidth="1"/>
    <col min="6" max="6" width="56.00390625" style="65" bestFit="1" customWidth="1"/>
    <col min="7" max="8" width="26.140625" style="65" bestFit="1" customWidth="1"/>
    <col min="9" max="10" width="37.7109375" style="65" bestFit="1" customWidth="1"/>
    <col min="11" max="11" width="24.28125" style="65" bestFit="1" customWidth="1"/>
    <col min="12" max="12" width="20.7109375" style="65" bestFit="1" customWidth="1"/>
    <col min="13" max="13" width="7.57421875" style="65" bestFit="1" customWidth="1"/>
    <col min="14" max="14" width="26.28125" style="65" bestFit="1" customWidth="1"/>
    <col min="15" max="15" width="5.8515625" style="65" bestFit="1" customWidth="1"/>
    <col min="16" max="16" width="4.8515625" style="65" bestFit="1" customWidth="1"/>
    <col min="17" max="17" width="7.7109375" style="65" bestFit="1" customWidth="1"/>
    <col min="18" max="18" width="26.421875" style="65" bestFit="1" customWidth="1"/>
    <col min="19" max="19" width="6.421875" style="65" bestFit="1" customWidth="1"/>
    <col min="20" max="20" width="4.8515625" style="65" bestFit="1" customWidth="1"/>
    <col min="21" max="21" width="10.57421875" style="65" bestFit="1" customWidth="1"/>
    <col min="22" max="22" width="26.421875" style="65" bestFit="1" customWidth="1"/>
    <col min="23" max="23" width="6.00390625" style="65" bestFit="1" customWidth="1"/>
    <col min="24" max="24" width="2.57421875" style="65" bestFit="1" customWidth="1"/>
    <col min="25" max="25" width="6.28125" style="65" bestFit="1" customWidth="1"/>
    <col min="26" max="26" width="26.421875" style="65" bestFit="1" customWidth="1"/>
    <col min="27" max="27" width="9.28125" style="65" bestFit="1" customWidth="1"/>
    <col min="28" max="28" width="2.57421875" style="65" bestFit="1" customWidth="1"/>
    <col min="29" max="29" width="6.00390625" style="65" bestFit="1" customWidth="1"/>
    <col min="30" max="30" width="57.421875" style="65" bestFit="1" customWidth="1"/>
    <col min="31" max="31" width="7.140625" style="65" bestFit="1" customWidth="1"/>
    <col min="32" max="32" width="2.57421875" style="65" bestFit="1" customWidth="1"/>
    <col min="33" max="33" width="2.421875" style="65" bestFit="1" customWidth="1"/>
    <col min="34" max="34" width="57.421875" style="65" bestFit="1" customWidth="1"/>
    <col min="35" max="35" width="4.8515625" style="65" bestFit="1" customWidth="1"/>
    <col min="36" max="36" width="2.57421875" style="65" bestFit="1" customWidth="1"/>
    <col min="37" max="37" width="2.421875" style="65" bestFit="1" customWidth="1"/>
    <col min="38" max="16384" width="9.140625" style="65" customWidth="1"/>
  </cols>
  <sheetData>
    <row r="2" spans="1:6" ht="12.75">
      <c r="A2" s="74"/>
      <c r="B2" s="109">
        <f ca="1">TODAY()</f>
        <v>42794</v>
      </c>
      <c r="C2" s="72">
        <v>1</v>
      </c>
      <c r="D2" s="42"/>
      <c r="E2" s="43"/>
      <c r="F2" s="43"/>
    </row>
    <row r="3" spans="1:32" ht="12.75">
      <c r="A3" s="82">
        <v>1</v>
      </c>
      <c r="B3" s="83" t="str">
        <f>HLOOKUP($B$2,'Date Drivers'!$B$1:$Q$97,2)</f>
        <v>Phase 2</v>
      </c>
      <c r="C3" s="60">
        <f>HLOOKUP($B$2,'Date Drivers'!$B$1:$Q$97,5)</f>
        <v>2</v>
      </c>
      <c r="D3" s="113" t="s">
        <v>49</v>
      </c>
      <c r="E3" s="114" t="s">
        <v>50</v>
      </c>
      <c r="F3" s="114" t="s">
        <v>88</v>
      </c>
      <c r="G3" s="123" t="str">
        <f>HLOOKUP(Configurator!$B$6,'Date Drivers'!$B$1:$Q$105,27)</f>
        <v>Французский</v>
      </c>
      <c r="H3" s="124">
        <f>HLOOKUP(Configurator!$B$6,'Date Drivers'!$B$1:$Q$105,41)</f>
        <v>0</v>
      </c>
      <c r="I3" s="123" t="str">
        <f>HLOOKUP(Configurator!$B$6,'Date Drivers'!$B$1:$Q$105,28)</f>
        <v>Английский</v>
      </c>
      <c r="J3" s="124">
        <f>HLOOKUP(Configurator!$B$6,'Date Drivers'!$B$1:$Q$105,42)</f>
        <v>1</v>
      </c>
      <c r="K3" s="123" t="str">
        <f>HLOOKUP(Configurator!$B$6,'Date Drivers'!$B$1:$Q$105,29)</f>
        <v>Испанский</v>
      </c>
      <c r="L3" s="124">
        <f>HLOOKUP(Configurator!$B$6,'Date Drivers'!$B$1:$Q$105,43)</f>
        <v>2</v>
      </c>
      <c r="M3" s="123" t="str">
        <f>HLOOKUP(Configurator!$B$6,'Date Drivers'!$B$1:$Q$105,30)</f>
        <v>Немецкий</v>
      </c>
      <c r="N3" s="124">
        <f>HLOOKUP(Configurator!$B$6,'Date Drivers'!$B$1:$Q$105,44)</f>
        <v>3</v>
      </c>
      <c r="O3" s="123" t="str">
        <f>HLOOKUP(Configurator!$B$6,'Date Drivers'!$B$1:$Q$105,31)</f>
        <v>Итальянский</v>
      </c>
      <c r="P3" s="124">
        <f>HLOOKUP(Configurator!$B$6,'Date Drivers'!$B$1:$Q$105,45)</f>
        <v>4</v>
      </c>
      <c r="Q3" s="123" t="str">
        <f>HLOOKUP(Configurator!$B$6,'Date Drivers'!$B$1:$Q$105,32)</f>
        <v>Русский</v>
      </c>
      <c r="R3" s="124">
        <f>HLOOKUP(Configurator!$B$6,'Date Drivers'!$B$1:$Q$105,46)</f>
        <v>5</v>
      </c>
      <c r="S3" s="123" t="str">
        <f>HLOOKUP(Configurator!$B$6,'Date Drivers'!$B$1:$Q$105,33)</f>
        <v>Польский</v>
      </c>
      <c r="T3" s="124">
        <f>HLOOKUP(Configurator!$B$6,'Date Drivers'!$B$1:$Q$105,47)</f>
        <v>6</v>
      </c>
      <c r="U3" s="123" t="str">
        <f>HLOOKUP(Configurator!$B$6,'Date Drivers'!$B$1:$Q$105,34)</f>
        <v>Португальский</v>
      </c>
      <c r="V3" s="124">
        <f>HLOOKUP(Configurator!$B$6,'Date Drivers'!$B$1:$Q$105,48)</f>
        <v>7</v>
      </c>
      <c r="W3" s="123" t="str">
        <f>HLOOKUP(Configurator!$B$6,'Date Drivers'!$B$1:$Q$105,35)</f>
        <v>Голландский</v>
      </c>
      <c r="X3" s="124">
        <f>HLOOKUP(Configurator!$B$6,'Date Drivers'!$B$1:$Q$105,49)</f>
        <v>8</v>
      </c>
      <c r="Y3" s="123" t="str">
        <f>HLOOKUP(Configurator!$B$6,'Date Drivers'!$B$1:$Q$105,36)</f>
        <v>Чешский</v>
      </c>
      <c r="Z3" s="124" t="str">
        <f>HLOOKUP(Configurator!$B$6,'Date Drivers'!$B$1:$Q$105,50)</f>
        <v>A</v>
      </c>
      <c r="AA3" s="123" t="str">
        <f>HLOOKUP(Configurator!$B$6,'Date Drivers'!$B$1:$Q$105,37)</f>
        <v>Венгерский</v>
      </c>
      <c r="AB3" s="124" t="str">
        <f>HLOOKUP(Configurator!$B$6,'Date Drivers'!$B$1:$Q$105,51)</f>
        <v>B</v>
      </c>
      <c r="AC3" s="123" t="str">
        <f>HLOOKUP(Configurator!$B$6,'Date Drivers'!$B$1:$Q$105,38)</f>
        <v>Греческий</v>
      </c>
      <c r="AD3" s="124" t="str">
        <f>HLOOKUP(Configurator!$B$6,'Date Drivers'!$B$1:$Q$105,52)</f>
        <v>C</v>
      </c>
      <c r="AE3" s="123" t="str">
        <f>HLOOKUP(Configurator!$B$6,'Date Drivers'!$B$1:$Q$105,39)</f>
        <v>Турецкий</v>
      </c>
      <c r="AF3" s="124" t="str">
        <f>HLOOKUP(Configurator!$B$6,'Date Drivers'!$B$1:$Q$105,53)</f>
        <v>E</v>
      </c>
    </row>
    <row r="4" spans="1:32" ht="12.75">
      <c r="A4" s="75">
        <v>2</v>
      </c>
      <c r="B4" s="84" t="str">
        <f>HLOOKUP($B$2,'Date Drivers'!$B$1:$Q$97,3)</f>
        <v>Phase 2 with graphical display: Chinese HMI</v>
      </c>
      <c r="C4" s="111">
        <f>HLOOKUP($B$2,'Date Drivers'!$B$1:$Q$97,6)</f>
        <v>3</v>
      </c>
      <c r="D4" s="128" t="s">
        <v>49</v>
      </c>
      <c r="E4" s="128" t="s">
        <v>50</v>
      </c>
      <c r="F4" s="128" t="s">
        <v>88</v>
      </c>
      <c r="G4" s="115" t="str">
        <f>HLOOKUP(Configurator!$B$6,'Date Drivers'!$B$1:$Q$105,40)</f>
        <v>Китайский</v>
      </c>
      <c r="H4" s="105" t="str">
        <f>HLOOKUP(Configurator!$B$6,'Date Drivers'!$B$1:$Q$105,54)</f>
        <v>D</v>
      </c>
      <c r="I4" s="127" t="s">
        <v>0</v>
      </c>
      <c r="J4" s="129" t="s">
        <v>4</v>
      </c>
      <c r="K4" s="127" t="s">
        <v>0</v>
      </c>
      <c r="L4" s="129" t="s">
        <v>4</v>
      </c>
      <c r="M4" s="127" t="s">
        <v>0</v>
      </c>
      <c r="N4" s="129" t="s">
        <v>4</v>
      </c>
      <c r="O4" s="127" t="s">
        <v>0</v>
      </c>
      <c r="P4" s="129" t="s">
        <v>4</v>
      </c>
      <c r="Q4" s="127" t="s">
        <v>0</v>
      </c>
      <c r="R4" s="129" t="s">
        <v>4</v>
      </c>
      <c r="S4" s="127" t="s">
        <v>0</v>
      </c>
      <c r="T4" s="129" t="s">
        <v>4</v>
      </c>
      <c r="U4" s="127" t="s">
        <v>0</v>
      </c>
      <c r="V4" s="129" t="s">
        <v>4</v>
      </c>
      <c r="W4" s="127" t="s">
        <v>0</v>
      </c>
      <c r="X4" s="129" t="s">
        <v>4</v>
      </c>
      <c r="Y4" s="127" t="s">
        <v>0</v>
      </c>
      <c r="Z4" s="129" t="s">
        <v>4</v>
      </c>
      <c r="AA4" s="127" t="s">
        <v>0</v>
      </c>
      <c r="AB4" s="129" t="s">
        <v>4</v>
      </c>
      <c r="AC4" s="127" t="s">
        <v>0</v>
      </c>
      <c r="AD4" s="129" t="s">
        <v>4</v>
      </c>
      <c r="AE4" s="127" t="s">
        <v>0</v>
      </c>
      <c r="AF4" s="129" t="s">
        <v>4</v>
      </c>
    </row>
    <row r="5" spans="1:32" ht="12.75">
      <c r="A5" s="76">
        <v>3</v>
      </c>
      <c r="B5" s="85" t="str">
        <f>HLOOKUP($B$2,'Date Drivers'!$B$1:$Q$97,4)</f>
        <v>Phase 1</v>
      </c>
      <c r="C5" s="112">
        <f>HLOOKUP($B$2,'Date Drivers'!$B$1:$Q$97,7)</f>
        <v>1</v>
      </c>
      <c r="D5" s="67" t="s">
        <v>0</v>
      </c>
      <c r="E5" s="110" t="s">
        <v>0</v>
      </c>
      <c r="F5" s="110" t="s">
        <v>0</v>
      </c>
      <c r="G5" s="125" t="str">
        <f>HLOOKUP(Configurator!$B$6,'Date Drivers'!$B$1:$Q$105,27)</f>
        <v>Французский</v>
      </c>
      <c r="H5" s="126">
        <f>HLOOKUP(Configurator!$B$6,'Date Drivers'!$B$1:$Q$105,41)</f>
        <v>0</v>
      </c>
      <c r="I5" s="125" t="str">
        <f>HLOOKUP(Configurator!$B$6,'Date Drivers'!$B$1:$Q$105,28)</f>
        <v>Английский</v>
      </c>
      <c r="J5" s="126">
        <f>HLOOKUP(Configurator!$B$6,'Date Drivers'!$B$1:$Q$105,42)</f>
        <v>1</v>
      </c>
      <c r="K5" s="125" t="str">
        <f>HLOOKUP(Configurator!$B$6,'Date Drivers'!$B$1:$Q$105,29)</f>
        <v>Испанский</v>
      </c>
      <c r="L5" s="126">
        <f>HLOOKUP(Configurator!$B$6,'Date Drivers'!$B$1:$Q$105,43)</f>
        <v>2</v>
      </c>
      <c r="M5" s="125" t="str">
        <f>HLOOKUP(Configurator!$B$6,'Date Drivers'!$B$1:$Q$105,30)</f>
        <v>Немецкий</v>
      </c>
      <c r="N5" s="126">
        <f>HLOOKUP(Configurator!$B$6,'Date Drivers'!$B$1:$Q$105,44)</f>
        <v>3</v>
      </c>
      <c r="O5" s="125" t="str">
        <f>HLOOKUP(Configurator!$B$6,'Date Drivers'!$B$1:$Q$105,31)</f>
        <v>Итальянский</v>
      </c>
      <c r="P5" s="126">
        <f>HLOOKUP(Configurator!$B$6,'Date Drivers'!$B$1:$Q$105,45)</f>
        <v>4</v>
      </c>
      <c r="Q5" s="125" t="str">
        <f>HLOOKUP(Configurator!$B$6,'Date Drivers'!$B$1:$Q$105,32)</f>
        <v>Русский</v>
      </c>
      <c r="R5" s="126">
        <f>HLOOKUP(Configurator!$B$6,'Date Drivers'!$B$1:$Q$105,46)</f>
        <v>5</v>
      </c>
      <c r="S5" s="125" t="str">
        <f>HLOOKUP(Configurator!$B$6,'Date Drivers'!$B$1:$Q$105,33)</f>
        <v>Польский</v>
      </c>
      <c r="T5" s="126">
        <f>HLOOKUP(Configurator!$B$6,'Date Drivers'!$B$1:$Q$105,47)</f>
        <v>6</v>
      </c>
      <c r="U5" s="125" t="str">
        <f>HLOOKUP(Configurator!$B$6,'Date Drivers'!$B$1:$Q$105,34)</f>
        <v>Португальский</v>
      </c>
      <c r="V5" s="126">
        <f>HLOOKUP(Configurator!$B$6,'Date Drivers'!$B$1:$Q$105,48)</f>
        <v>7</v>
      </c>
      <c r="W5" s="125" t="str">
        <f>HLOOKUP(Configurator!$B$6,'Date Drivers'!$B$1:$Q$105,35)</f>
        <v>Голландский</v>
      </c>
      <c r="X5" s="126">
        <f>HLOOKUP(Configurator!$B$6,'Date Drivers'!$B$1:$Q$105,49)</f>
        <v>8</v>
      </c>
      <c r="Y5" s="125" t="str">
        <f>HLOOKUP(Configurator!$B$6,'Date Drivers'!$B$1:$Q$105,36)</f>
        <v>Чешский</v>
      </c>
      <c r="Z5" s="126" t="str">
        <f>HLOOKUP(Configurator!$B$6,'Date Drivers'!$B$1:$Q$105,50)</f>
        <v>A</v>
      </c>
      <c r="AA5" s="125" t="str">
        <f>HLOOKUP(Configurator!$B$6,'Date Drivers'!$B$1:$Q$105,37)</f>
        <v>Венгерский</v>
      </c>
      <c r="AB5" s="126" t="str">
        <f>HLOOKUP(Configurator!$B$6,'Date Drivers'!$B$1:$Q$105,51)</f>
        <v>B</v>
      </c>
      <c r="AC5" s="125" t="str">
        <f>HLOOKUP(Configurator!$B$6,'Date Drivers'!$B$1:$Q$105,38)</f>
        <v>Греческий</v>
      </c>
      <c r="AD5" s="126" t="str">
        <f>HLOOKUP(Configurator!$B$6,'Date Drivers'!$B$1:$Q$105,52)</f>
        <v>C</v>
      </c>
      <c r="AE5" s="125" t="str">
        <f>HLOOKUP(Configurator!$B$6,'Date Drivers'!$B$1:$Q$105,39)</f>
        <v>Турецкий</v>
      </c>
      <c r="AF5" s="126" t="str">
        <f>HLOOKUP(Configurator!$B$6,'Date Drivers'!$B$1:$Q$105,53)</f>
        <v>E</v>
      </c>
    </row>
    <row r="7" spans="1:2" ht="12.75">
      <c r="A7" s="116">
        <v>1</v>
      </c>
      <c r="B7" s="86">
        <v>38001</v>
      </c>
    </row>
    <row r="8" spans="1:2" ht="12.75">
      <c r="A8" s="117">
        <v>2</v>
      </c>
      <c r="B8" s="119">
        <f ca="1">TODAY()</f>
        <v>42794</v>
      </c>
    </row>
    <row r="9" spans="1:2" ht="12.75">
      <c r="A9" s="118">
        <v>3</v>
      </c>
      <c r="B9" s="120">
        <f ca="1">TODAY()</f>
        <v>42794</v>
      </c>
    </row>
    <row r="11" spans="1:17" ht="12.75">
      <c r="A11" s="74"/>
      <c r="C11" s="64"/>
      <c r="E11" s="72">
        <f>$C$2*10+Tendering!$B$11</f>
        <v>12</v>
      </c>
      <c r="F11" s="102" t="s">
        <v>40</v>
      </c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4"/>
    </row>
    <row r="12" spans="1:17" ht="12.75">
      <c r="A12" s="32">
        <v>1</v>
      </c>
      <c r="B12" s="78" t="str">
        <f>HLOOKUP(Configurator!$B$6,'Date Drivers'!$B$1:$Q$97,8)</f>
        <v>0.1 - 40 x номинального тока</v>
      </c>
      <c r="C12" s="60" t="str">
        <f>HLOOKUP(Configurator!$B$6,'Date Drivers'!$B$1:$Q$97,11)</f>
        <v>A</v>
      </c>
      <c r="E12" s="92">
        <v>11</v>
      </c>
      <c r="F12" s="50" t="str">
        <f>HLOOKUP(Configurator!$B$6,'Date Drivers'!$B$1:$Q$83,68)</f>
        <v>105 - 145 Vdc (специальное применение)</v>
      </c>
      <c r="G12" s="50" t="str">
        <f>HLOOKUP(Configurator!$B$6,'Date Drivers'!$B$1:$Q$83,69)</f>
        <v>24 - 250 Vdc  (испытано UK ENA + зажимные винты ) </v>
      </c>
      <c r="H12" s="50" t="str">
        <f>HLOOKUP(Configurator!$B$6,'Date Drivers'!$B$1:$Q$83,70)</f>
        <v>110 Vdc -30% / +20% (специальное применение)</v>
      </c>
      <c r="I12" s="50" t="str">
        <f>HLOOKUP(Configurator!$B$6,'Date Drivers'!$B$1:$Q$83,71)</f>
        <v>220 Vdc -30% / +20% (специальное применение)</v>
      </c>
      <c r="J12" s="90" t="s">
        <v>0</v>
      </c>
      <c r="K12" s="90" t="s">
        <v>0</v>
      </c>
      <c r="L12" s="97" t="str">
        <f>HLOOKUP(Configurator!$B$6,'Date Drivers'!$B$1:$Q$83,76)</f>
        <v>H</v>
      </c>
      <c r="M12" s="97" t="str">
        <f>HLOOKUP(Configurator!$B$6,'Date Drivers'!$B$1:$Q$83,77)</f>
        <v>T</v>
      </c>
      <c r="N12" s="97" t="str">
        <f>HLOOKUP(Configurator!$B$6,'Date Drivers'!$B$1:$Q$83,78)</f>
        <v>V</v>
      </c>
      <c r="O12" s="97" t="str">
        <f>HLOOKUP(Configurator!$B$6,'Date Drivers'!$B$1:$Q$83,79)</f>
        <v>W</v>
      </c>
      <c r="P12" s="95" t="s">
        <v>4</v>
      </c>
      <c r="Q12" s="96" t="s">
        <v>4</v>
      </c>
    </row>
    <row r="13" spans="1:17" ht="12.75">
      <c r="A13" s="33">
        <v>2</v>
      </c>
      <c r="B13" s="79" t="str">
        <f>HLOOKUP(Configurator!$B$6,'Date Drivers'!$B$1:$Q$97,9)</f>
        <v>0.01 - 8 x номинального тока</v>
      </c>
      <c r="C13" s="61" t="str">
        <f>HLOOKUP(Configurator!$B$6,'Date Drivers'!$B$1:$Q$97,12)</f>
        <v>B</v>
      </c>
      <c r="E13" s="91">
        <v>12</v>
      </c>
      <c r="F13" s="50" t="str">
        <f>HLOOKUP(Configurator!$B$6,'Date Drivers'!$B$1:$Q$83,72)</f>
        <v>24 - 250 Vdc / 24 - 240 Vac</v>
      </c>
      <c r="G13" s="90" t="s">
        <v>0</v>
      </c>
      <c r="H13" s="90" t="s">
        <v>0</v>
      </c>
      <c r="I13" s="90" t="s">
        <v>0</v>
      </c>
      <c r="J13" s="90" t="s">
        <v>0</v>
      </c>
      <c r="K13" s="90" t="s">
        <v>0</v>
      </c>
      <c r="L13" s="97" t="str">
        <f>HLOOKUP(Configurator!$B$6,'Date Drivers'!$B$1:$Q$83,80)</f>
        <v>Z</v>
      </c>
      <c r="M13" s="95" t="s">
        <v>4</v>
      </c>
      <c r="N13" s="95" t="s">
        <v>4</v>
      </c>
      <c r="O13" s="95" t="s">
        <v>4</v>
      </c>
      <c r="P13" s="95" t="s">
        <v>4</v>
      </c>
      <c r="Q13" s="96" t="s">
        <v>4</v>
      </c>
    </row>
    <row r="14" spans="1:17" ht="12.75">
      <c r="A14" s="81">
        <v>3</v>
      </c>
      <c r="B14" s="80" t="str">
        <f>HLOOKUP(Configurator!$B$6,'Date Drivers'!$B$1:$Q$97,10)</f>
        <v>0.002 - I x номинального тока</v>
      </c>
      <c r="C14" s="62" t="str">
        <f>HLOOKUP(Configurator!$B$6,'Date Drivers'!$B$1:$Q$97,13)</f>
        <v>C</v>
      </c>
      <c r="E14" s="92">
        <v>13</v>
      </c>
      <c r="F14" s="73" t="s">
        <v>66</v>
      </c>
      <c r="G14" s="90" t="s">
        <v>0</v>
      </c>
      <c r="H14" s="90" t="s">
        <v>0</v>
      </c>
      <c r="I14" s="90" t="s">
        <v>0</v>
      </c>
      <c r="J14" s="90" t="s">
        <v>0</v>
      </c>
      <c r="K14" s="90" t="s">
        <v>0</v>
      </c>
      <c r="L14" s="98" t="s">
        <v>4</v>
      </c>
      <c r="M14" s="95" t="s">
        <v>4</v>
      </c>
      <c r="N14" s="95" t="s">
        <v>4</v>
      </c>
      <c r="O14" s="95" t="s">
        <v>4</v>
      </c>
      <c r="P14" s="95" t="s">
        <v>4</v>
      </c>
      <c r="Q14" s="96" t="s">
        <v>4</v>
      </c>
    </row>
    <row r="15" spans="5:17" ht="12.75">
      <c r="E15" s="92">
        <v>14</v>
      </c>
      <c r="F15" s="73" t="s">
        <v>66</v>
      </c>
      <c r="G15" s="90" t="s">
        <v>0</v>
      </c>
      <c r="H15" s="90" t="s">
        <v>0</v>
      </c>
      <c r="I15" s="90" t="s">
        <v>0</v>
      </c>
      <c r="J15" s="90" t="s">
        <v>0</v>
      </c>
      <c r="K15" s="90" t="s">
        <v>0</v>
      </c>
      <c r="L15" s="98" t="s">
        <v>4</v>
      </c>
      <c r="M15" s="95" t="s">
        <v>4</v>
      </c>
      <c r="N15" s="95" t="s">
        <v>4</v>
      </c>
      <c r="O15" s="95" t="s">
        <v>4</v>
      </c>
      <c r="P15" s="95" t="s">
        <v>4</v>
      </c>
      <c r="Q15" s="96" t="s">
        <v>4</v>
      </c>
    </row>
    <row r="16" spans="1:17" ht="12.75">
      <c r="A16" s="74"/>
      <c r="C16" s="70"/>
      <c r="E16" s="91">
        <v>15</v>
      </c>
      <c r="F16" s="73" t="s">
        <v>66</v>
      </c>
      <c r="G16" s="90" t="s">
        <v>0</v>
      </c>
      <c r="H16" s="90" t="s">
        <v>0</v>
      </c>
      <c r="I16" s="90" t="s">
        <v>0</v>
      </c>
      <c r="J16" s="90" t="s">
        <v>0</v>
      </c>
      <c r="K16" s="90" t="s">
        <v>0</v>
      </c>
      <c r="L16" s="98" t="s">
        <v>4</v>
      </c>
      <c r="M16" s="95" t="s">
        <v>4</v>
      </c>
      <c r="N16" s="95" t="s">
        <v>4</v>
      </c>
      <c r="O16" s="95" t="s">
        <v>4</v>
      </c>
      <c r="P16" s="95" t="s">
        <v>4</v>
      </c>
      <c r="Q16" s="96" t="s">
        <v>4</v>
      </c>
    </row>
    <row r="17" spans="1:17" ht="12.75">
      <c r="A17" s="32">
        <v>1</v>
      </c>
      <c r="B17" s="57" t="str">
        <f>HLOOKUP(Configurator!$B$6,'Date Drivers'!$B$1:$Q$97,14)</f>
        <v>48 - 250 Vdc / 48 - 240 Vac</v>
      </c>
      <c r="C17" s="70"/>
      <c r="E17" s="91">
        <v>21</v>
      </c>
      <c r="F17" s="50" t="str">
        <f>HLOOKUP(Configurator!$B$6,'Date Drivers'!$B$1:$Q$83,68)</f>
        <v>105 - 145 Vdc (специальное применение)</v>
      </c>
      <c r="G17" s="50" t="str">
        <f>HLOOKUP(Configurator!$B$6,'Date Drivers'!$B$1:$Q$83,69)</f>
        <v>24 - 250 Vdc  (испытано UK ENA + зажимные винты ) </v>
      </c>
      <c r="H17" s="50" t="str">
        <f>HLOOKUP(Configurator!$B$6,'Date Drivers'!$B$1:$Q$83,70)</f>
        <v>110 Vdc -30% / +20% (специальное применение)</v>
      </c>
      <c r="I17" s="50" t="str">
        <f>HLOOKUP(Configurator!$B$6,'Date Drivers'!$B$1:$Q$83,71)</f>
        <v>220 Vdc -30% / +20% (специальное применение)</v>
      </c>
      <c r="J17" s="90" t="s">
        <v>0</v>
      </c>
      <c r="K17" s="90" t="s">
        <v>0</v>
      </c>
      <c r="L17" s="97" t="str">
        <f>HLOOKUP(Configurator!$B$6,'Date Drivers'!$B$1:$Q$83,76)</f>
        <v>H</v>
      </c>
      <c r="M17" s="97" t="str">
        <f>HLOOKUP(Configurator!$B$6,'Date Drivers'!$B$1:$Q$83,77)</f>
        <v>T</v>
      </c>
      <c r="N17" s="97" t="str">
        <f>HLOOKUP(Configurator!$B$6,'Date Drivers'!$B$1:$Q$83,78)</f>
        <v>V</v>
      </c>
      <c r="O17" s="97" t="str">
        <f>HLOOKUP(Configurator!$B$6,'Date Drivers'!$B$1:$Q$83,79)</f>
        <v>W</v>
      </c>
      <c r="P17" s="95" t="s">
        <v>4</v>
      </c>
      <c r="Q17" s="96" t="s">
        <v>4</v>
      </c>
    </row>
    <row r="18" spans="1:17" ht="12.75">
      <c r="A18" s="33">
        <v>2</v>
      </c>
      <c r="B18" s="57" t="str">
        <f>HLOOKUP(Configurator!$B$6,'Date Drivers'!$B$1:$Q$97,15)</f>
        <v>24 - 250 Vdc / 48 - 240 Vac</v>
      </c>
      <c r="C18" s="70"/>
      <c r="E18" s="91">
        <v>22</v>
      </c>
      <c r="F18" s="50" t="str">
        <f>HLOOKUP(Configurator!$B$6,'Date Drivers'!$B$1:$Q$83,72)</f>
        <v>24 - 250 Vdc / 24 - 240 Vac</v>
      </c>
      <c r="G18" s="90" t="s">
        <v>0</v>
      </c>
      <c r="H18" s="90" t="s">
        <v>0</v>
      </c>
      <c r="I18" s="90" t="s">
        <v>0</v>
      </c>
      <c r="J18" s="90" t="s">
        <v>0</v>
      </c>
      <c r="K18" s="90" t="s">
        <v>0</v>
      </c>
      <c r="L18" s="97" t="str">
        <f>HLOOKUP(Configurator!$B$6,'Date Drivers'!$B$1:$Q$83,80)</f>
        <v>Z</v>
      </c>
      <c r="M18" s="95" t="s">
        <v>4</v>
      </c>
      <c r="N18" s="95" t="s">
        <v>4</v>
      </c>
      <c r="O18" s="95" t="s">
        <v>4</v>
      </c>
      <c r="P18" s="95" t="s">
        <v>4</v>
      </c>
      <c r="Q18" s="96" t="s">
        <v>4</v>
      </c>
    </row>
    <row r="19" spans="1:17" ht="12.75">
      <c r="A19" s="33">
        <v>3</v>
      </c>
      <c r="B19" s="57" t="str">
        <f>HLOOKUP(Configurator!$B$6,'Date Drivers'!$B$1:$Q$97,16)</f>
        <v> </v>
      </c>
      <c r="C19" s="70"/>
      <c r="E19" s="91">
        <v>23</v>
      </c>
      <c r="F19" s="73" t="s">
        <v>66</v>
      </c>
      <c r="G19" s="90" t="s">
        <v>0</v>
      </c>
      <c r="H19" s="90" t="s">
        <v>0</v>
      </c>
      <c r="I19" s="90" t="s">
        <v>0</v>
      </c>
      <c r="J19" s="90" t="s">
        <v>0</v>
      </c>
      <c r="K19" s="90" t="s">
        <v>0</v>
      </c>
      <c r="L19" s="98" t="s">
        <v>4</v>
      </c>
      <c r="M19" s="95" t="s">
        <v>4</v>
      </c>
      <c r="N19" s="95" t="s">
        <v>4</v>
      </c>
      <c r="O19" s="95" t="s">
        <v>4</v>
      </c>
      <c r="P19" s="95" t="s">
        <v>4</v>
      </c>
      <c r="Q19" s="96" t="s">
        <v>4</v>
      </c>
    </row>
    <row r="20" spans="1:17" ht="12.75">
      <c r="A20" s="33">
        <v>4</v>
      </c>
      <c r="B20" s="57" t="str">
        <f>HLOOKUP(Configurator!$B$6,'Date Drivers'!$B$1:$Q$97,17)</f>
        <v> </v>
      </c>
      <c r="C20" s="70"/>
      <c r="E20" s="91">
        <v>24</v>
      </c>
      <c r="F20" s="73" t="s">
        <v>66</v>
      </c>
      <c r="G20" s="90" t="s">
        <v>0</v>
      </c>
      <c r="H20" s="90" t="s">
        <v>0</v>
      </c>
      <c r="I20" s="90" t="s">
        <v>0</v>
      </c>
      <c r="J20" s="90" t="s">
        <v>0</v>
      </c>
      <c r="K20" s="90" t="s">
        <v>0</v>
      </c>
      <c r="L20" s="98" t="s">
        <v>4</v>
      </c>
      <c r="M20" s="95" t="s">
        <v>4</v>
      </c>
      <c r="N20" s="95" t="s">
        <v>4</v>
      </c>
      <c r="O20" s="95" t="s">
        <v>4</v>
      </c>
      <c r="P20" s="95" t="s">
        <v>4</v>
      </c>
      <c r="Q20" s="96" t="s">
        <v>4</v>
      </c>
    </row>
    <row r="21" spans="1:17" ht="12.75">
      <c r="A21" s="81">
        <v>5</v>
      </c>
      <c r="B21" s="58" t="str">
        <f>HLOOKUP(Configurator!$B$6,'Date Drivers'!$B$1:$Q$97,18)</f>
        <v> </v>
      </c>
      <c r="C21" s="70"/>
      <c r="E21" s="93">
        <v>25</v>
      </c>
      <c r="F21" s="73" t="s">
        <v>66</v>
      </c>
      <c r="G21" s="90" t="s">
        <v>0</v>
      </c>
      <c r="H21" s="90" t="s">
        <v>0</v>
      </c>
      <c r="I21" s="90" t="s">
        <v>0</v>
      </c>
      <c r="J21" s="90" t="s">
        <v>0</v>
      </c>
      <c r="K21" s="90" t="s">
        <v>0</v>
      </c>
      <c r="L21" s="98" t="s">
        <v>4</v>
      </c>
      <c r="M21" s="95" t="s">
        <v>4</v>
      </c>
      <c r="N21" s="95" t="s">
        <v>4</v>
      </c>
      <c r="O21" s="95" t="s">
        <v>4</v>
      </c>
      <c r="P21" s="95" t="s">
        <v>4</v>
      </c>
      <c r="Q21" s="96" t="s">
        <v>4</v>
      </c>
    </row>
    <row r="22" spans="5:17" ht="12.75">
      <c r="E22" s="91">
        <v>31</v>
      </c>
      <c r="F22" s="50" t="str">
        <f>HLOOKUP(Configurator!$B$6,'Date Drivers'!$B$1:$Q$83,68)</f>
        <v>105 - 145 Vdc (специальное применение)</v>
      </c>
      <c r="G22" s="52" t="s">
        <v>0</v>
      </c>
      <c r="H22" s="52" t="s">
        <v>0</v>
      </c>
      <c r="I22" s="52" t="s">
        <v>0</v>
      </c>
      <c r="J22" s="52" t="s">
        <v>0</v>
      </c>
      <c r="K22" s="52" t="s">
        <v>0</v>
      </c>
      <c r="L22" s="94" t="str">
        <f>HLOOKUP(Configurator!$B$6,'Date Drivers'!$B$1:$Q$83,76)</f>
        <v>H</v>
      </c>
      <c r="M22" s="95" t="s">
        <v>4</v>
      </c>
      <c r="N22" s="95" t="s">
        <v>4</v>
      </c>
      <c r="O22" s="95" t="s">
        <v>4</v>
      </c>
      <c r="P22" s="95" t="s">
        <v>4</v>
      </c>
      <c r="Q22" s="96" t="s">
        <v>4</v>
      </c>
    </row>
    <row r="23" spans="1:17" ht="12.75">
      <c r="A23" s="74"/>
      <c r="C23" s="64"/>
      <c r="E23" s="92">
        <v>32</v>
      </c>
      <c r="F23" s="50" t="str">
        <f>HLOOKUP(Configurator!$B$6,'Date Drivers'!$B$1:$Q$83,69)</f>
        <v>24 - 250 Vdc  (испытано UK ENA + зажимные винты ) </v>
      </c>
      <c r="G23" s="50" t="str">
        <f>HLOOKUP(Configurator!$B$6,'Date Drivers'!$B$1:$Q$83,70)</f>
        <v>110 Vdc -30% / +20% (специальное применение)</v>
      </c>
      <c r="H23" s="52" t="s">
        <v>0</v>
      </c>
      <c r="I23" s="52" t="s">
        <v>0</v>
      </c>
      <c r="J23" s="90" t="s">
        <v>0</v>
      </c>
      <c r="K23" s="90" t="s">
        <v>0</v>
      </c>
      <c r="L23" s="97" t="str">
        <f>HLOOKUP(Configurator!$B$6,'Date Drivers'!$B$1:$Q$83,77)</f>
        <v>T</v>
      </c>
      <c r="M23" s="97" t="str">
        <f>HLOOKUP(Configurator!$B$6,'Date Drivers'!$B$1:$Q$83,78)</f>
        <v>V</v>
      </c>
      <c r="N23" s="95" t="s">
        <v>4</v>
      </c>
      <c r="O23" s="95" t="s">
        <v>4</v>
      </c>
      <c r="P23" s="95" t="s">
        <v>4</v>
      </c>
      <c r="Q23" s="96" t="s">
        <v>4</v>
      </c>
    </row>
    <row r="24" spans="1:17" ht="12.75">
      <c r="A24" s="82">
        <v>1</v>
      </c>
      <c r="B24" s="83" t="str">
        <f>VLOOKUP($E$11,$E$12:$Q$26,2)</f>
        <v>24 - 250 Vdc / 24 - 240 Vac</v>
      </c>
      <c r="C24" s="60" t="str">
        <f>VLOOKUP($E$11,$E$12:$Q$26,8)</f>
        <v>Z</v>
      </c>
      <c r="E24" s="91">
        <v>33</v>
      </c>
      <c r="F24" s="50" t="str">
        <f>HLOOKUP(Configurator!$B$6,'Date Drivers'!$B$1:$Q$83,71)</f>
        <v>220 Vdc -30% / +20% (специальное применение)</v>
      </c>
      <c r="G24" s="50" t="str">
        <f>HLOOKUP(Configurator!$B$6,'Date Drivers'!$B$1:$Q$83,72)</f>
        <v>24 - 250 Vdc / 24 - 240 Vac</v>
      </c>
      <c r="H24" s="52" t="s">
        <v>0</v>
      </c>
      <c r="I24" s="52" t="s">
        <v>0</v>
      </c>
      <c r="J24" s="90" t="s">
        <v>0</v>
      </c>
      <c r="K24" s="90" t="s">
        <v>0</v>
      </c>
      <c r="L24" s="94" t="str">
        <f>HLOOKUP(Configurator!$B$6,'Date Drivers'!$B$1:$Q$83,79)</f>
        <v>W</v>
      </c>
      <c r="M24" s="97" t="str">
        <f>HLOOKUP(Configurator!$B$6,'Date Drivers'!$B$1:$Q$83,80)</f>
        <v>Z</v>
      </c>
      <c r="N24" s="95" t="s">
        <v>4</v>
      </c>
      <c r="O24" s="95" t="s">
        <v>4</v>
      </c>
      <c r="P24" s="95" t="s">
        <v>4</v>
      </c>
      <c r="Q24" s="96" t="s">
        <v>4</v>
      </c>
    </row>
    <row r="25" spans="1:17" ht="12.75">
      <c r="A25" s="75">
        <v>2</v>
      </c>
      <c r="B25" s="84" t="str">
        <f>VLOOKUP($E$11,$E$12:$Q$26,3)</f>
        <v> </v>
      </c>
      <c r="C25" s="61" t="str">
        <f>VLOOKUP($E$11,$E$12:$Q$26,9)</f>
        <v>*</v>
      </c>
      <c r="E25" s="92">
        <v>34</v>
      </c>
      <c r="F25" s="50">
        <f>HLOOKUP(Configurator!$B$6,'Date Drivers'!$B$1:$Q$83,73)</f>
        <v>0</v>
      </c>
      <c r="G25" s="90" t="s">
        <v>0</v>
      </c>
      <c r="H25" s="90" t="s">
        <v>0</v>
      </c>
      <c r="I25" s="90" t="s">
        <v>0</v>
      </c>
      <c r="J25" s="90" t="s">
        <v>0</v>
      </c>
      <c r="K25" s="90" t="s">
        <v>0</v>
      </c>
      <c r="L25" s="94" t="str">
        <f>HLOOKUP(Configurator!$B$6,'Date Drivers'!$B$1:$Q$83,81)</f>
        <v>*</v>
      </c>
      <c r="M25" s="95" t="s">
        <v>4</v>
      </c>
      <c r="N25" s="95" t="s">
        <v>4</v>
      </c>
      <c r="O25" s="95" t="s">
        <v>4</v>
      </c>
      <c r="P25" s="95" t="s">
        <v>4</v>
      </c>
      <c r="Q25" s="96" t="s">
        <v>4</v>
      </c>
    </row>
    <row r="26" spans="1:17" ht="12.75">
      <c r="A26" s="75">
        <v>3</v>
      </c>
      <c r="B26" s="84" t="str">
        <f>VLOOKUP($E$11,$E$12:$Q$26,4)</f>
        <v> </v>
      </c>
      <c r="C26" s="61" t="str">
        <f>VLOOKUP($E$11,$E$12:$Q$26,10)</f>
        <v>*</v>
      </c>
      <c r="E26" s="91">
        <v>35</v>
      </c>
      <c r="F26" s="73" t="s">
        <v>66</v>
      </c>
      <c r="G26" s="90" t="s">
        <v>0</v>
      </c>
      <c r="H26" s="90" t="s">
        <v>0</v>
      </c>
      <c r="I26" s="90" t="s">
        <v>0</v>
      </c>
      <c r="J26" s="90" t="s">
        <v>0</v>
      </c>
      <c r="K26" s="90" t="s">
        <v>0</v>
      </c>
      <c r="L26" s="98" t="s">
        <v>4</v>
      </c>
      <c r="M26" s="95" t="s">
        <v>4</v>
      </c>
      <c r="N26" s="95" t="s">
        <v>4</v>
      </c>
      <c r="O26" s="95" t="s">
        <v>4</v>
      </c>
      <c r="P26" s="95" t="s">
        <v>4</v>
      </c>
      <c r="Q26" s="96" t="s">
        <v>4</v>
      </c>
    </row>
    <row r="27" spans="1:6" ht="12.75">
      <c r="A27" s="75">
        <v>4</v>
      </c>
      <c r="B27" s="84" t="str">
        <f>VLOOKUP($E$11,$E$12:$Q$26,5)</f>
        <v> </v>
      </c>
      <c r="C27" s="61" t="str">
        <f>VLOOKUP($E$11,$E$12:$Q$26,11)</f>
        <v>*</v>
      </c>
      <c r="E27" s="70"/>
      <c r="F27" s="69"/>
    </row>
    <row r="28" spans="1:3" ht="12.75">
      <c r="A28" s="75">
        <v>5</v>
      </c>
      <c r="B28" s="84" t="str">
        <f>VLOOKUP($E$11,$E$12:$Q$26,6)</f>
        <v> </v>
      </c>
      <c r="C28" s="61" t="str">
        <f>VLOOKUP($E$11,$E$12:$Q$26,12)</f>
        <v>*</v>
      </c>
    </row>
    <row r="29" spans="1:3" ht="12.75">
      <c r="A29" s="76">
        <v>6</v>
      </c>
      <c r="B29" s="85" t="str">
        <f>VLOOKUP($E$11,$E$12:$Q$26,7)</f>
        <v> </v>
      </c>
      <c r="C29" s="62" t="str">
        <f>VLOOKUP($E$11,$E$12:$Q$26,13)</f>
        <v>*</v>
      </c>
    </row>
    <row r="30" ht="12.75">
      <c r="E30" s="72">
        <f>$C$2*10+$B$70</f>
        <v>11</v>
      </c>
    </row>
    <row r="31" spans="1:41" ht="12.75">
      <c r="A31" s="74"/>
      <c r="C31" s="64"/>
      <c r="E31" s="91">
        <v>11</v>
      </c>
      <c r="F31" s="132" t="str">
        <f>CONCATENATE(HLOOKUP(Configurator!$B$6,'Date Drivers'!$B$1:$R$83,55)," ",G31,I31)</f>
        <v>Latest software version V12.C</v>
      </c>
      <c r="G31" s="133" t="str">
        <f>HLOOKUP(Configurator!$B$6,'Date Drivers'!$B$1:$R$97,84)</f>
        <v>V12.</v>
      </c>
      <c r="H31" s="133" t="str">
        <f>HLOOKUP(Configurator!$B$6,'Date Drivers'!$B$1:$R$97,57)</f>
        <v>C</v>
      </c>
      <c r="I31" s="133" t="str">
        <f>HLOOKUP(Configurator!$B$6,'Date Drivers'!$B$1:$R$97,57)</f>
        <v>C</v>
      </c>
      <c r="J31" s="132" t="str">
        <f>CONCATENATE(HLOOKUP(Configurator!$B$6,'Date Drivers'!$B$1:$R$83,56)," ",K31,M31)</f>
        <v>Software version V12.B</v>
      </c>
      <c r="K31" s="133" t="str">
        <f>HLOOKUP(Configurator!$B$6,'Date Drivers'!$B$1:$R$97,84)</f>
        <v>V12.</v>
      </c>
      <c r="L31" s="133" t="str">
        <f>HLOOKUP(Configurator!$B$6,'Date Drivers'!$B$1:$R$97,57)</f>
        <v>C</v>
      </c>
      <c r="M31" s="133" t="str">
        <f>HLOOKUP(Configurator!$B$6,'Date Drivers'!$B$1:$R$97,60)</f>
        <v>B</v>
      </c>
      <c r="N31" s="132" t="str">
        <f>CONCATENATE(HLOOKUP(Configurator!$B$6,'Date Drivers'!$B$1:$R$83,56)," ",O31,Q31)</f>
        <v>Software version V12.A</v>
      </c>
      <c r="O31" s="133" t="str">
        <f>HLOOKUP(Configurator!$B$6,'Date Drivers'!$B$1:$R$97,84)</f>
        <v>V12.</v>
      </c>
      <c r="P31" s="133" t="str">
        <f>HLOOKUP(Configurator!$B$6,'Date Drivers'!$B$1:$R$97,57)</f>
        <v>C</v>
      </c>
      <c r="Q31" s="133" t="str">
        <f>HLOOKUP(Configurator!$B$6,'Date Drivers'!$B$1:$R$97,61)</f>
        <v>A</v>
      </c>
      <c r="R31" s="132" t="str">
        <f>CONCATENATE(HLOOKUP(Configurator!$B$6,'Date Drivers'!$B$1:$R$83,56)," ",S31,U31)</f>
        <v>Software version V11.F</v>
      </c>
      <c r="S31" s="133" t="str">
        <f>HLOOKUP(Configurator!$B$6,'Date Drivers'!$B$1:$R$97,85)</f>
        <v>V11.</v>
      </c>
      <c r="T31" s="133" t="str">
        <f>HLOOKUP(Configurator!$B$6,'Date Drivers'!$B$1:$R$97,58)</f>
        <v>B</v>
      </c>
      <c r="U31" s="133" t="str">
        <f>HLOOKUP(Configurator!$B$6,'Date Drivers'!$B$1:$R$97,62)</f>
        <v>F</v>
      </c>
      <c r="V31" s="132" t="str">
        <f>CONCATENATE(HLOOKUP(Configurator!$B$6,'Date Drivers'!$B$1:$R$83,56)," ",W31,Y31)</f>
        <v>Software version V11.E</v>
      </c>
      <c r="W31" s="133" t="str">
        <f>HLOOKUP(Configurator!$B$6,'Date Drivers'!$B$1:$R$97,85)</f>
        <v>V11.</v>
      </c>
      <c r="X31" s="133" t="str">
        <f>HLOOKUP(Configurator!$B$6,'Date Drivers'!$B$1:$R$97,58)</f>
        <v>B</v>
      </c>
      <c r="Y31" s="133" t="str">
        <f>HLOOKUP(Configurator!$B$6,'Date Drivers'!$B$1:$R$97,63)</f>
        <v>E</v>
      </c>
      <c r="Z31" s="132" t="str">
        <f>CONCATENATE(HLOOKUP(Configurator!$B$6,'Date Drivers'!$B$1:$R$83,56)," ",AA31,AC31)</f>
        <v>Software version V11.D</v>
      </c>
      <c r="AA31" s="133" t="str">
        <f>HLOOKUP(Configurator!$B$6,'Date Drivers'!$B$1:$R$97,85)</f>
        <v>V11.</v>
      </c>
      <c r="AB31" s="133" t="str">
        <f>HLOOKUP(Configurator!$B$6,'Date Drivers'!$B$1:$R$97,58)</f>
        <v>B</v>
      </c>
      <c r="AC31" s="133" t="str">
        <f>HLOOKUP(Configurator!$B$6,'Date Drivers'!$B$1:$R$97,64)</f>
        <v>D</v>
      </c>
      <c r="AD31" s="132" t="str">
        <f>CONCATENATE(HLOOKUP(Configurator!$B$6,'Date Drivers'!$B$1:$R$83,56)," ",AE31,AG31)</f>
        <v>Software version V11.C</v>
      </c>
      <c r="AE31" s="133" t="str">
        <f>HLOOKUP(Configurator!$B$6,'Date Drivers'!$B$1:$R$97,85)</f>
        <v>V11.</v>
      </c>
      <c r="AF31" s="133" t="str">
        <f>HLOOKUP(Configurator!$B$6,'Date Drivers'!$B$1:$R$97,58)</f>
        <v>B</v>
      </c>
      <c r="AG31" s="133" t="str">
        <f>HLOOKUP(Configurator!$B$6,'Date Drivers'!$B$1:$R$97,65)</f>
        <v>C</v>
      </c>
      <c r="AH31" s="132" t="str">
        <f>CONCATENATE(HLOOKUP(Configurator!$B$6,'Date Drivers'!$B$1:$R$83,56)," ",AI31,AK31)</f>
        <v>Software version V11.A</v>
      </c>
      <c r="AI31" s="133" t="str">
        <f>HLOOKUP(Configurator!$B$6,'Date Drivers'!$B$1:$R$97,85)</f>
        <v>V11.</v>
      </c>
      <c r="AJ31" s="133" t="str">
        <f>HLOOKUP(Configurator!$B$6,'Date Drivers'!$B$1:$R$97,58)</f>
        <v>B</v>
      </c>
      <c r="AK31" s="133" t="str">
        <f>HLOOKUP(Configurator!$B$6,'Date Drivers'!$B$1:$R$97,66)</f>
        <v>A</v>
      </c>
      <c r="AL31" s="132" t="str">
        <f>CONCATENATE(HLOOKUP(Configurator!$B$6,'Date Drivers'!$B$1:$R$83,56)," ",AM31,AO31)</f>
        <v>Software version V10.E</v>
      </c>
      <c r="AM31" s="133" t="str">
        <f>HLOOKUP(Configurator!$B$6,'Date Drivers'!$B$1:$R$97,86)</f>
        <v>V10.</v>
      </c>
      <c r="AN31" s="133" t="str">
        <f>HLOOKUP(Configurator!$B$6,'Date Drivers'!$B$1:$R$97,59)</f>
        <v>A</v>
      </c>
      <c r="AO31" s="133" t="str">
        <f>HLOOKUP(Configurator!$B$6,'Date Drivers'!$B$1:$R$97,67)</f>
        <v>E</v>
      </c>
    </row>
    <row r="32" spans="1:41" ht="12.75">
      <c r="A32" s="32">
        <v>1</v>
      </c>
      <c r="B32" s="83" t="str">
        <f>HLOOKUP(Configurator!$B$6,'Date Drivers'!$B$1:$Q$97,19)</f>
        <v>MODBUS</v>
      </c>
      <c r="C32" s="60">
        <f>HLOOKUP(Configurator!$B$6,'Date Drivers'!$B$1:$Q$97,23)</f>
        <v>1</v>
      </c>
      <c r="E32" s="91">
        <v>12</v>
      </c>
      <c r="F32" s="132" t="str">
        <f>CONCATENATE(HLOOKUP(Configurator!$B$6,'Date Drivers'!$B$1:$R$83,55)," ",G32,I32)</f>
        <v>Latest software version V12.C</v>
      </c>
      <c r="G32" s="133" t="str">
        <f>HLOOKUP(Configurator!$B$6,'Date Drivers'!$B$1:$R$97,84)</f>
        <v>V12.</v>
      </c>
      <c r="H32" s="133" t="str">
        <f>HLOOKUP(Configurator!$B$6,'Date Drivers'!$B$1:$R$97,57)</f>
        <v>C</v>
      </c>
      <c r="I32" s="133" t="str">
        <f>HLOOKUP(Configurator!$B$6,'Date Drivers'!$B$1:$R$97,57)</f>
        <v>C</v>
      </c>
      <c r="J32" s="132" t="str">
        <f>CONCATENATE(HLOOKUP(Configurator!$B$6,'Date Drivers'!$B$1:$R$83,56)," ",K32,M32)</f>
        <v>Software version V12.B</v>
      </c>
      <c r="K32" s="133" t="str">
        <f>HLOOKUP(Configurator!$B$6,'Date Drivers'!$B$1:$R$97,84)</f>
        <v>V12.</v>
      </c>
      <c r="L32" s="133" t="str">
        <f>HLOOKUP(Configurator!$B$6,'Date Drivers'!$B$1:$R$97,57)</f>
        <v>C</v>
      </c>
      <c r="M32" s="133" t="str">
        <f>HLOOKUP(Configurator!$B$6,'Date Drivers'!$B$1:$R$97,60)</f>
        <v>B</v>
      </c>
      <c r="N32" s="132" t="str">
        <f>CONCATENATE(HLOOKUP(Configurator!$B$6,'Date Drivers'!$B$1:$R$83,56)," ",O32,Q32)</f>
        <v>Software version V12.A</v>
      </c>
      <c r="O32" s="133" t="str">
        <f>HLOOKUP(Configurator!$B$6,'Date Drivers'!$B$1:$R$97,84)</f>
        <v>V12.</v>
      </c>
      <c r="P32" s="133" t="str">
        <f>HLOOKUP(Configurator!$B$6,'Date Drivers'!$B$1:$R$97,57)</f>
        <v>C</v>
      </c>
      <c r="Q32" s="133" t="str">
        <f>HLOOKUP(Configurator!$B$6,'Date Drivers'!$B$1:$R$97,61)</f>
        <v>A</v>
      </c>
      <c r="R32" s="132" t="str">
        <f>CONCATENATE(HLOOKUP(Configurator!$B$6,'Date Drivers'!$B$1:$R$83,56)," ",S32,U32)</f>
        <v>Software version V11.F</v>
      </c>
      <c r="S32" s="133" t="str">
        <f>HLOOKUP(Configurator!$B$6,'Date Drivers'!$B$1:$R$97,85)</f>
        <v>V11.</v>
      </c>
      <c r="T32" s="133" t="str">
        <f>HLOOKUP(Configurator!$B$6,'Date Drivers'!$B$1:$R$97,58)</f>
        <v>B</v>
      </c>
      <c r="U32" s="133" t="str">
        <f>HLOOKUP(Configurator!$B$6,'Date Drivers'!$B$1:$R$97,62)</f>
        <v>F</v>
      </c>
      <c r="V32" s="193" t="s">
        <v>0</v>
      </c>
      <c r="W32" s="193" t="s">
        <v>0</v>
      </c>
      <c r="X32" s="133" t="str">
        <f>HLOOKUP(Configurator!$B$6,'Date Drivers'!$B$1:$R$97,58)</f>
        <v>B</v>
      </c>
      <c r="Y32" s="133" t="str">
        <f>HLOOKUP(Configurator!$B$6,'Date Drivers'!$B$1:$R$97,62)</f>
        <v>F</v>
      </c>
      <c r="Z32" s="193" t="s">
        <v>0</v>
      </c>
      <c r="AA32" s="193" t="s">
        <v>0</v>
      </c>
      <c r="AB32" s="133" t="str">
        <f>HLOOKUP(Configurator!$B$6,'Date Drivers'!$B$1:$R$97,58)</f>
        <v>B</v>
      </c>
      <c r="AC32" s="133" t="str">
        <f>HLOOKUP(Configurator!$B$6,'Date Drivers'!$B$1:$R$97,62)</f>
        <v>F</v>
      </c>
      <c r="AD32" s="193" t="s">
        <v>0</v>
      </c>
      <c r="AE32" s="193" t="s">
        <v>0</v>
      </c>
      <c r="AF32" s="133" t="str">
        <f>HLOOKUP(Configurator!$B$6,'Date Drivers'!$B$1:$R$97,58)</f>
        <v>B</v>
      </c>
      <c r="AG32" s="133" t="str">
        <f>HLOOKUP(Configurator!$B$6,'Date Drivers'!$B$1:$R$97,62)</f>
        <v>F</v>
      </c>
      <c r="AH32" s="193" t="s">
        <v>0</v>
      </c>
      <c r="AI32" s="193" t="s">
        <v>0</v>
      </c>
      <c r="AJ32" s="133" t="str">
        <f>HLOOKUP(Configurator!$B$6,'Date Drivers'!$B$1:$R$97,58)</f>
        <v>B</v>
      </c>
      <c r="AK32" s="133" t="str">
        <f>HLOOKUP(Configurator!$B$6,'Date Drivers'!$B$1:$R$97,62)</f>
        <v>F</v>
      </c>
      <c r="AL32" s="193" t="s">
        <v>0</v>
      </c>
      <c r="AM32" s="193" t="s">
        <v>0</v>
      </c>
      <c r="AN32" s="133" t="str">
        <f>HLOOKUP(Configurator!$B$6,'Date Drivers'!$B$1:$R$97,58)</f>
        <v>B</v>
      </c>
      <c r="AO32" s="133" t="str">
        <f>HLOOKUP(Configurator!$B$6,'Date Drivers'!$B$1:$R$97,62)</f>
        <v>F</v>
      </c>
    </row>
    <row r="33" spans="1:41" ht="12.75">
      <c r="A33" s="33">
        <v>2</v>
      </c>
      <c r="B33" s="84" t="str">
        <f>HLOOKUP(Configurator!$B$6,'Date Drivers'!$B$1:$Q$97,20)</f>
        <v>KBUS / COURIER</v>
      </c>
      <c r="C33" s="61">
        <f>HLOOKUP(Configurator!$B$6,'Date Drivers'!$B$1:$Q$97,24)</f>
        <v>2</v>
      </c>
      <c r="E33" s="91">
        <v>21</v>
      </c>
      <c r="F33" s="132" t="str">
        <f>CONCATENATE(HLOOKUP(Configurator!$B$6,'Date Drivers'!$B$1:$R$83,55)," ",G33,I33)</f>
        <v>Latest software version V12.C</v>
      </c>
      <c r="G33" s="133" t="str">
        <f>HLOOKUP(Configurator!$B$6,'Date Drivers'!$B$1:$R$97,84)</f>
        <v>V12.</v>
      </c>
      <c r="H33" s="133" t="str">
        <f>HLOOKUP(Configurator!$B$6,'Date Drivers'!$B$1:$R$97,57)</f>
        <v>C</v>
      </c>
      <c r="I33" s="133" t="str">
        <f>HLOOKUP(Configurator!$B$6,'Date Drivers'!$B$1:$R$97,57)</f>
        <v>C</v>
      </c>
      <c r="J33" s="132" t="str">
        <f>CONCATENATE(HLOOKUP(Configurator!$B$6,'Date Drivers'!$B$1:$R$83,56)," ",K33,M33)</f>
        <v>Software version V12.B</v>
      </c>
      <c r="K33" s="133" t="str">
        <f>HLOOKUP(Configurator!$B$6,'Date Drivers'!$B$1:$R$97,84)</f>
        <v>V12.</v>
      </c>
      <c r="L33" s="133" t="str">
        <f>HLOOKUP(Configurator!$B$6,'Date Drivers'!$B$1:$R$97,57)</f>
        <v>C</v>
      </c>
      <c r="M33" s="133" t="str">
        <f>HLOOKUP(Configurator!$B$6,'Date Drivers'!$B$1:$R$97,60)</f>
        <v>B</v>
      </c>
      <c r="N33" s="132" t="str">
        <f>CONCATENATE(HLOOKUP(Configurator!$B$6,'Date Drivers'!$B$1:$R$83,56)," ",O33,Q33)</f>
        <v>Software version V12.A</v>
      </c>
      <c r="O33" s="133" t="str">
        <f>HLOOKUP(Configurator!$B$6,'Date Drivers'!$B$1:$R$97,84)</f>
        <v>V12.</v>
      </c>
      <c r="P33" s="133" t="str">
        <f>HLOOKUP(Configurator!$B$6,'Date Drivers'!$B$1:$R$97,57)</f>
        <v>C</v>
      </c>
      <c r="Q33" s="133" t="str">
        <f>HLOOKUP(Configurator!$B$6,'Date Drivers'!$B$1:$R$97,61)</f>
        <v>A</v>
      </c>
      <c r="R33" s="132" t="str">
        <f>CONCATENATE(HLOOKUP(Configurator!$B$6,'Date Drivers'!$B$1:$R$83,56)," ",S33,U33)</f>
        <v>Software version V11.F</v>
      </c>
      <c r="S33" s="133" t="str">
        <f>HLOOKUP(Configurator!$B$6,'Date Drivers'!$B$1:$R$97,85)</f>
        <v>V11.</v>
      </c>
      <c r="T33" s="133" t="str">
        <f>HLOOKUP(Configurator!$B$6,'Date Drivers'!$B$1:$R$97,58)</f>
        <v>B</v>
      </c>
      <c r="U33" s="133" t="str">
        <f>HLOOKUP(Configurator!$B$6,'Date Drivers'!$B$1:$R$97,62)</f>
        <v>F</v>
      </c>
      <c r="V33" s="132" t="str">
        <f>CONCATENATE(HLOOKUP(Configurator!$B$6,'Date Drivers'!$B$1:$R$83,56)," ",W33,Y33)</f>
        <v>Software version V11.E</v>
      </c>
      <c r="W33" s="133" t="str">
        <f>HLOOKUP(Configurator!$B$6,'Date Drivers'!$B$1:$R$97,85)</f>
        <v>V11.</v>
      </c>
      <c r="X33" s="133" t="str">
        <f>HLOOKUP(Configurator!$B$6,'Date Drivers'!$B$1:$R$97,58)</f>
        <v>B</v>
      </c>
      <c r="Y33" s="133" t="str">
        <f>HLOOKUP(Configurator!$B$6,'Date Drivers'!$B$1:$R$97,63)</f>
        <v>E</v>
      </c>
      <c r="Z33" s="132" t="str">
        <f>CONCATENATE(HLOOKUP(Configurator!$B$6,'Date Drivers'!$B$1:$R$83,56)," ",AA33,AC33)</f>
        <v>Software version V11.D</v>
      </c>
      <c r="AA33" s="133" t="str">
        <f>HLOOKUP(Configurator!$B$6,'Date Drivers'!$B$1:$R$97,85)</f>
        <v>V11.</v>
      </c>
      <c r="AB33" s="133" t="str">
        <f>HLOOKUP(Configurator!$B$6,'Date Drivers'!$B$1:$R$97,58)</f>
        <v>B</v>
      </c>
      <c r="AC33" s="133" t="str">
        <f>HLOOKUP(Configurator!$B$6,'Date Drivers'!$B$1:$R$97,64)</f>
        <v>D</v>
      </c>
      <c r="AD33" s="132" t="str">
        <f>CONCATENATE(HLOOKUP(Configurator!$B$6,'Date Drivers'!$B$1:$R$83,56)," ",AE33,AG33)</f>
        <v>Software version V11.C</v>
      </c>
      <c r="AE33" s="133" t="str">
        <f>HLOOKUP(Configurator!$B$6,'Date Drivers'!$B$1:$R$97,85)</f>
        <v>V11.</v>
      </c>
      <c r="AF33" s="133" t="str">
        <f>HLOOKUP(Configurator!$B$6,'Date Drivers'!$B$1:$R$97,58)</f>
        <v>B</v>
      </c>
      <c r="AG33" s="133" t="str">
        <f>HLOOKUP(Configurator!$B$6,'Date Drivers'!$B$1:$R$97,65)</f>
        <v>C</v>
      </c>
      <c r="AH33" s="132" t="str">
        <f>CONCATENATE(HLOOKUP(Configurator!$B$6,'Date Drivers'!$B$1:$R$83,56)," ",AI33,AK33)</f>
        <v>Software version V11.A</v>
      </c>
      <c r="AI33" s="133" t="str">
        <f>HLOOKUP(Configurator!$B$6,'Date Drivers'!$B$1:$R$97,85)</f>
        <v>V11.</v>
      </c>
      <c r="AJ33" s="133" t="str">
        <f>HLOOKUP(Configurator!$B$6,'Date Drivers'!$B$1:$R$97,58)</f>
        <v>B</v>
      </c>
      <c r="AK33" s="133" t="str">
        <f>HLOOKUP(Configurator!$B$6,'Date Drivers'!$B$1:$R$97,66)</f>
        <v>A</v>
      </c>
      <c r="AL33" s="132" t="str">
        <f>CONCATENATE(HLOOKUP(Configurator!$B$6,'Date Drivers'!$B$1:$R$83,56)," ",AM33,AO33)</f>
        <v>Software version V10.E</v>
      </c>
      <c r="AM33" s="133" t="str">
        <f>HLOOKUP(Configurator!$B$6,'Date Drivers'!$B$1:$R$97,86)</f>
        <v>V10.</v>
      </c>
      <c r="AN33" s="133" t="str">
        <f>HLOOKUP(Configurator!$B$6,'Date Drivers'!$B$1:$R$97,59)</f>
        <v>A</v>
      </c>
      <c r="AO33" s="133" t="str">
        <f>HLOOKUP(Configurator!$B$6,'Date Drivers'!$B$1:$R$97,67)</f>
        <v>E</v>
      </c>
    </row>
    <row r="34" spans="1:41" ht="12.75">
      <c r="A34" s="33">
        <v>3</v>
      </c>
      <c r="B34" s="84" t="str">
        <f>HLOOKUP(Configurator!$B$6,'Date Drivers'!$B$1:$Q$97,21)</f>
        <v>IEC60870-5-103</v>
      </c>
      <c r="C34" s="61">
        <f>HLOOKUP(Configurator!$B$6,'Date Drivers'!$B$1:$Q$97,25)</f>
        <v>3</v>
      </c>
      <c r="E34" s="91">
        <v>22</v>
      </c>
      <c r="F34" s="132" t="str">
        <f>CONCATENATE(HLOOKUP(Configurator!$B$6,'Date Drivers'!$B$1:$R$83,55)," ",G34,I34)</f>
        <v>Latest software version V12.C</v>
      </c>
      <c r="G34" s="133" t="str">
        <f>HLOOKUP(Configurator!$B$6,'Date Drivers'!$B$1:$R$97,84)</f>
        <v>V12.</v>
      </c>
      <c r="H34" s="133" t="str">
        <f>HLOOKUP(Configurator!$B$6,'Date Drivers'!$B$1:$R$97,57)</f>
        <v>C</v>
      </c>
      <c r="I34" s="133" t="str">
        <f>HLOOKUP(Configurator!$B$6,'Date Drivers'!$B$1:$R$97,57)</f>
        <v>C</v>
      </c>
      <c r="J34" s="132" t="str">
        <f>CONCATENATE(HLOOKUP(Configurator!$B$6,'Date Drivers'!$B$1:$R$83,56)," ",K34,M34)</f>
        <v>Software version V12.B</v>
      </c>
      <c r="K34" s="133" t="str">
        <f>HLOOKUP(Configurator!$B$6,'Date Drivers'!$B$1:$R$97,84)</f>
        <v>V12.</v>
      </c>
      <c r="L34" s="133" t="str">
        <f>HLOOKUP(Configurator!$B$6,'Date Drivers'!$B$1:$R$97,57)</f>
        <v>C</v>
      </c>
      <c r="M34" s="133" t="str">
        <f>HLOOKUP(Configurator!$B$6,'Date Drivers'!$B$1:$R$97,60)</f>
        <v>B</v>
      </c>
      <c r="N34" s="132" t="str">
        <f>CONCATENATE(HLOOKUP(Configurator!$B$6,'Date Drivers'!$B$1:$R$83,56)," ",O34,Q34)</f>
        <v>Software version V12.A</v>
      </c>
      <c r="O34" s="133" t="str">
        <f>HLOOKUP(Configurator!$B$6,'Date Drivers'!$B$1:$R$97,84)</f>
        <v>V12.</v>
      </c>
      <c r="P34" s="133" t="str">
        <f>HLOOKUP(Configurator!$B$6,'Date Drivers'!$B$1:$R$97,57)</f>
        <v>C</v>
      </c>
      <c r="Q34" s="133" t="str">
        <f>HLOOKUP(Configurator!$B$6,'Date Drivers'!$B$1:$R$97,61)</f>
        <v>A</v>
      </c>
      <c r="R34" s="132" t="str">
        <f>CONCATENATE(HLOOKUP(Configurator!$B$6,'Date Drivers'!$B$1:$R$83,56)," ",S34,U34)</f>
        <v>Software version V11.F</v>
      </c>
      <c r="S34" s="133" t="str">
        <f>HLOOKUP(Configurator!$B$6,'Date Drivers'!$B$1:$R$97,85)</f>
        <v>V11.</v>
      </c>
      <c r="T34" s="133" t="str">
        <f>HLOOKUP(Configurator!$B$6,'Date Drivers'!$B$1:$R$97,58)</f>
        <v>B</v>
      </c>
      <c r="U34" s="133" t="str">
        <f>HLOOKUP(Configurator!$B$6,'Date Drivers'!$B$1:$R$97,62)</f>
        <v>F</v>
      </c>
      <c r="V34" s="193" t="s">
        <v>0</v>
      </c>
      <c r="W34" s="193" t="s">
        <v>0</v>
      </c>
      <c r="X34" s="133" t="str">
        <f>HLOOKUP(Configurator!$B$6,'Date Drivers'!$B$1:$R$97,58)</f>
        <v>B</v>
      </c>
      <c r="Y34" s="133" t="str">
        <f>HLOOKUP(Configurator!$B$6,'Date Drivers'!$B$1:$R$97,62)</f>
        <v>F</v>
      </c>
      <c r="Z34" s="193" t="s">
        <v>0</v>
      </c>
      <c r="AA34" s="193" t="s">
        <v>0</v>
      </c>
      <c r="AB34" s="133" t="str">
        <f>HLOOKUP(Configurator!$B$6,'Date Drivers'!$B$1:$R$97,58)</f>
        <v>B</v>
      </c>
      <c r="AC34" s="133" t="str">
        <f>HLOOKUP(Configurator!$B$6,'Date Drivers'!$B$1:$R$97,62)</f>
        <v>F</v>
      </c>
      <c r="AD34" s="193" t="s">
        <v>0</v>
      </c>
      <c r="AE34" s="193" t="s">
        <v>0</v>
      </c>
      <c r="AF34" s="133" t="str">
        <f>HLOOKUP(Configurator!$B$6,'Date Drivers'!$B$1:$R$97,58)</f>
        <v>B</v>
      </c>
      <c r="AG34" s="133" t="str">
        <f>HLOOKUP(Configurator!$B$6,'Date Drivers'!$B$1:$R$97,62)</f>
        <v>F</v>
      </c>
      <c r="AH34" s="193" t="s">
        <v>0</v>
      </c>
      <c r="AI34" s="193" t="s">
        <v>0</v>
      </c>
      <c r="AJ34" s="133" t="str">
        <f>HLOOKUP(Configurator!$B$6,'Date Drivers'!$B$1:$R$97,58)</f>
        <v>B</v>
      </c>
      <c r="AK34" s="133" t="str">
        <f>HLOOKUP(Configurator!$B$6,'Date Drivers'!$B$1:$R$97,62)</f>
        <v>F</v>
      </c>
      <c r="AL34" s="193" t="s">
        <v>0</v>
      </c>
      <c r="AM34" s="193" t="s">
        <v>0</v>
      </c>
      <c r="AN34" s="133" t="str">
        <f>HLOOKUP(Configurator!$B$6,'Date Drivers'!$B$1:$R$97,58)</f>
        <v>B</v>
      </c>
      <c r="AO34" s="133" t="str">
        <f>HLOOKUP(Configurator!$B$6,'Date Drivers'!$B$1:$R$97,62)</f>
        <v>F</v>
      </c>
    </row>
    <row r="35" spans="1:41" ht="12.75">
      <c r="A35" s="81">
        <v>4</v>
      </c>
      <c r="B35" s="85" t="str">
        <f>HLOOKUP(Configurator!$B$6,'Date Drivers'!$B$1:$Q$97,22)</f>
        <v>DNP3</v>
      </c>
      <c r="C35" s="62">
        <f>HLOOKUP(Configurator!$B$6,'Date Drivers'!$B$1:$Q$97,26)</f>
        <v>4</v>
      </c>
      <c r="E35" s="91">
        <v>31</v>
      </c>
      <c r="F35" s="80" t="str">
        <f>CONCATENATE(HLOOKUP(Configurator!$B$6,'Date Drivers'!$B$1:$R$83,55)," ",HLOOKUP(Configurator!$B$6,'Date Drivers'!$B$1:$R$97,84),HLOOKUP(Configurator!$B$6,'Date Drivers'!$B$1:$R$97,65))</f>
        <v>Latest software version V12.C</v>
      </c>
      <c r="G35" s="62" t="str">
        <f>HLOOKUP(Configurator!$B$6,'Date Drivers'!$B$1:$R$97,84)</f>
        <v>V12.</v>
      </c>
      <c r="H35" s="90" t="s">
        <v>0</v>
      </c>
      <c r="I35" s="90" t="s">
        <v>0</v>
      </c>
      <c r="J35" s="90" t="s">
        <v>0</v>
      </c>
      <c r="K35" s="90" t="s">
        <v>0</v>
      </c>
      <c r="L35" s="90" t="s">
        <v>0</v>
      </c>
      <c r="M35" s="90" t="s">
        <v>0</v>
      </c>
      <c r="N35" s="90" t="s">
        <v>0</v>
      </c>
      <c r="O35" s="90" t="s">
        <v>0</v>
      </c>
      <c r="P35" s="90" t="s">
        <v>0</v>
      </c>
      <c r="Q35" s="90" t="s">
        <v>0</v>
      </c>
      <c r="R35" s="90" t="s">
        <v>0</v>
      </c>
      <c r="S35" s="90" t="s">
        <v>0</v>
      </c>
      <c r="T35" s="90" t="s">
        <v>0</v>
      </c>
      <c r="U35" s="90" t="s">
        <v>0</v>
      </c>
      <c r="V35" s="90" t="s">
        <v>0</v>
      </c>
      <c r="W35" s="90" t="s">
        <v>0</v>
      </c>
      <c r="X35" s="90" t="s">
        <v>0</v>
      </c>
      <c r="Y35" s="90" t="s">
        <v>0</v>
      </c>
      <c r="Z35" s="90" t="s">
        <v>0</v>
      </c>
      <c r="AA35" s="90" t="s">
        <v>0</v>
      </c>
      <c r="AB35" s="90" t="s">
        <v>0</v>
      </c>
      <c r="AC35" s="90" t="s">
        <v>0</v>
      </c>
      <c r="AD35" s="90" t="s">
        <v>0</v>
      </c>
      <c r="AE35" s="90" t="s">
        <v>0</v>
      </c>
      <c r="AF35" s="90" t="s">
        <v>0</v>
      </c>
      <c r="AG35" s="90" t="s">
        <v>0</v>
      </c>
      <c r="AH35" s="90" t="s">
        <v>0</v>
      </c>
      <c r="AI35" s="90" t="s">
        <v>0</v>
      </c>
      <c r="AJ35" s="90" t="s">
        <v>0</v>
      </c>
      <c r="AK35" s="90" t="s">
        <v>0</v>
      </c>
      <c r="AL35" s="90" t="s">
        <v>0</v>
      </c>
      <c r="AM35" s="90" t="s">
        <v>0</v>
      </c>
      <c r="AN35" s="90" t="s">
        <v>0</v>
      </c>
      <c r="AO35" s="131" t="s">
        <v>0</v>
      </c>
    </row>
    <row r="37" spans="1:3" ht="12.75">
      <c r="A37" s="74"/>
      <c r="C37" s="64"/>
    </row>
    <row r="38" spans="1:3" ht="12.75">
      <c r="A38" s="32">
        <v>1</v>
      </c>
      <c r="B38" s="78" t="str">
        <f>VLOOKUP($C$2,$A$3:$AF$5,7)</f>
        <v>Французский</v>
      </c>
      <c r="C38" s="60">
        <f>VLOOKUP($C$2,$A$3:$AF$5,8)</f>
        <v>0</v>
      </c>
    </row>
    <row r="39" spans="1:3" ht="12.75">
      <c r="A39" s="33">
        <v>2</v>
      </c>
      <c r="B39" s="79" t="str">
        <f>VLOOKUP($C$2,$A$3:$AF$5,9)</f>
        <v>Английский</v>
      </c>
      <c r="C39" s="61">
        <f>VLOOKUP($C$2,$A$3:$AF$5,10)</f>
        <v>1</v>
      </c>
    </row>
    <row r="40" spans="1:3" ht="12.75">
      <c r="A40" s="33">
        <v>3</v>
      </c>
      <c r="B40" s="79" t="str">
        <f>VLOOKUP($C$2,$A$3:$AF$5,11)</f>
        <v>Испанский</v>
      </c>
      <c r="C40" s="61">
        <f>VLOOKUP($C$2,$A$3:$AF$5,12)</f>
        <v>2</v>
      </c>
    </row>
    <row r="41" spans="1:3" ht="12.75">
      <c r="A41" s="33">
        <v>4</v>
      </c>
      <c r="B41" s="79" t="str">
        <f>VLOOKUP($C$2,$A$3:$AF$5,13)</f>
        <v>Немецкий</v>
      </c>
      <c r="C41" s="61">
        <f>VLOOKUP($C$2,$A$3:$AF$5,14)</f>
        <v>3</v>
      </c>
    </row>
    <row r="42" spans="1:3" ht="12.75">
      <c r="A42" s="33">
        <v>5</v>
      </c>
      <c r="B42" s="79" t="str">
        <f>VLOOKUP($C$2,$A$3:$AF$5,15)</f>
        <v>Итальянский</v>
      </c>
      <c r="C42" s="61">
        <f>VLOOKUP($C$2,$A$3:$AF$5,16)</f>
        <v>4</v>
      </c>
    </row>
    <row r="43" spans="1:3" ht="12.75">
      <c r="A43" s="33">
        <v>6</v>
      </c>
      <c r="B43" s="79" t="str">
        <f>VLOOKUP($C$2,$A$3:$AF$5,17)</f>
        <v>Русский</v>
      </c>
      <c r="C43" s="61">
        <f>VLOOKUP($C$2,$A$3:$AF$5,18)</f>
        <v>5</v>
      </c>
    </row>
    <row r="44" spans="1:3" ht="12.75">
      <c r="A44" s="33">
        <v>7</v>
      </c>
      <c r="B44" s="79" t="str">
        <f>VLOOKUP($C$2,$A$3:$AF$5,19)</f>
        <v>Польский</v>
      </c>
      <c r="C44" s="61">
        <f>VLOOKUP($C$2,$A$3:$AF$5,20)</f>
        <v>6</v>
      </c>
    </row>
    <row r="45" spans="1:3" ht="12.75">
      <c r="A45" s="33">
        <v>8</v>
      </c>
      <c r="B45" s="79" t="str">
        <f>VLOOKUP($C$2,$A$3:$AF$5,21)</f>
        <v>Португальский</v>
      </c>
      <c r="C45" s="61">
        <f>VLOOKUP($C$2,$A$3:$AF$5,22)</f>
        <v>7</v>
      </c>
    </row>
    <row r="46" spans="1:3" ht="12.75">
      <c r="A46" s="33">
        <v>9</v>
      </c>
      <c r="B46" s="79" t="str">
        <f>VLOOKUP($C$2,$A$3:$AF$5,23)</f>
        <v>Голландский</v>
      </c>
      <c r="C46" s="61">
        <f>VLOOKUP($C$2,$A$3:$AF$5,24)</f>
        <v>8</v>
      </c>
    </row>
    <row r="47" spans="1:3" ht="12.75">
      <c r="A47" s="33">
        <v>10</v>
      </c>
      <c r="B47" s="79" t="str">
        <f>VLOOKUP($C$2,$A$3:$AF$5,25)</f>
        <v>Чешский</v>
      </c>
      <c r="C47" s="61" t="str">
        <f>VLOOKUP($C$2,$A$3:$AF$5,26)</f>
        <v>A</v>
      </c>
    </row>
    <row r="48" spans="1:3" ht="12.75">
      <c r="A48" s="33">
        <v>11</v>
      </c>
      <c r="B48" s="79" t="str">
        <f>VLOOKUP($C$2,$A$3:$AF$5,27)</f>
        <v>Венгерский</v>
      </c>
      <c r="C48" s="61" t="str">
        <f>VLOOKUP($C$2,$A$3:$AF$5,28)</f>
        <v>B</v>
      </c>
    </row>
    <row r="49" spans="1:3" ht="12.75">
      <c r="A49" s="33">
        <v>12</v>
      </c>
      <c r="B49" s="79" t="str">
        <f>VLOOKUP($C$2,$A$3:$AF$5,29)</f>
        <v>Греческий</v>
      </c>
      <c r="C49" s="61" t="str">
        <f>VLOOKUP($C$2,$A$3:$AF$5,30)</f>
        <v>C</v>
      </c>
    </row>
    <row r="50" spans="1:3" ht="12.75">
      <c r="A50" s="33">
        <v>13</v>
      </c>
      <c r="B50" s="79" t="s">
        <v>190</v>
      </c>
      <c r="C50" s="61" t="s">
        <v>42</v>
      </c>
    </row>
    <row r="51" spans="1:3" ht="12.75">
      <c r="A51" s="81">
        <v>14</v>
      </c>
      <c r="B51" s="80" t="str">
        <f>VLOOKUP($C$2,$A$3:$AF$5,31)</f>
        <v>Турецкий</v>
      </c>
      <c r="C51" s="62" t="str">
        <f>VLOOKUP($C$2,$A$3:$AF$5,32)</f>
        <v>E</v>
      </c>
    </row>
    <row r="52" spans="1:3" ht="12.75">
      <c r="A52" s="77"/>
      <c r="B52" s="66"/>
      <c r="C52" s="71"/>
    </row>
    <row r="53" spans="1:3" ht="12.75">
      <c r="A53" s="74"/>
      <c r="C53" s="64"/>
    </row>
    <row r="54" spans="1:6" ht="12.75">
      <c r="A54" s="82">
        <v>1</v>
      </c>
      <c r="B54" s="78" t="s">
        <v>210</v>
      </c>
      <c r="C54" s="350" t="s">
        <v>211</v>
      </c>
      <c r="D54" s="351" t="s">
        <v>51</v>
      </c>
      <c r="E54" s="351" t="s">
        <v>1</v>
      </c>
      <c r="F54" s="351" t="s">
        <v>212</v>
      </c>
    </row>
    <row r="55" spans="1:6" ht="12.75">
      <c r="A55" s="82">
        <v>2</v>
      </c>
      <c r="B55" s="78" t="s">
        <v>208</v>
      </c>
      <c r="C55" s="350" t="s">
        <v>206</v>
      </c>
      <c r="D55" s="351" t="s">
        <v>42</v>
      </c>
      <c r="E55" s="351" t="s">
        <v>2</v>
      </c>
      <c r="F55" s="351" t="s">
        <v>209</v>
      </c>
    </row>
    <row r="56" spans="1:6" ht="12.75">
      <c r="A56" s="82">
        <v>3</v>
      </c>
      <c r="B56" s="78" t="s">
        <v>205</v>
      </c>
      <c r="C56" s="350" t="s">
        <v>206</v>
      </c>
      <c r="D56" s="351" t="s">
        <v>42</v>
      </c>
      <c r="E56" s="351" t="s">
        <v>1</v>
      </c>
      <c r="F56" s="351" t="s">
        <v>207</v>
      </c>
    </row>
    <row r="57" spans="1:6" ht="12.75">
      <c r="A57" s="82">
        <v>4</v>
      </c>
      <c r="B57" s="79" t="str">
        <f>IF(Tendering!$B$14=13," ","Версия программного обеспечения V12.F")</f>
        <v>Версия программного обеспечения V12.F</v>
      </c>
      <c r="C57" s="61" t="str">
        <f>IF(Tendering!$B$14=13,"V13.","V12.")</f>
        <v>V12.</v>
      </c>
      <c r="D57" s="61" t="str">
        <f>IF(Tendering!$B$14=13,"D","C")</f>
        <v>C</v>
      </c>
      <c r="E57" s="61" t="str">
        <f>IF(Tendering!$B$14=13,"A","F")</f>
        <v>F</v>
      </c>
      <c r="F57" s="61" t="str">
        <f>IF(Tendering!$B$14=13,"V13.A","V12.F")</f>
        <v>V12.F</v>
      </c>
    </row>
    <row r="58" spans="1:6" ht="12.75">
      <c r="A58" s="82">
        <v>5</v>
      </c>
      <c r="B58" s="79" t="str">
        <f>IF(Tendering!$B$14=13," ","Версия программного обеспечения V12.E")</f>
        <v>Версия программного обеспечения V12.E</v>
      </c>
      <c r="C58" s="61" t="str">
        <f>IF(Tendering!$B$14=13,"V13.","V12.")</f>
        <v>V12.</v>
      </c>
      <c r="D58" s="61" t="str">
        <f>IF(Tendering!$B$14=13,"D","C")</f>
        <v>C</v>
      </c>
      <c r="E58" s="61" t="str">
        <f>IF(Tendering!$B$14=13,"A","E")</f>
        <v>E</v>
      </c>
      <c r="F58" s="61" t="str">
        <f>IF(Tendering!$B$14=13,"V13.A","V12.E")</f>
        <v>V12.E</v>
      </c>
    </row>
    <row r="59" spans="1:6" ht="12.75">
      <c r="A59" s="75">
        <v>6</v>
      </c>
      <c r="B59" s="79" t="str">
        <f>IF(Tendering!$B$14=13," ","Версия программного обеспечения V11.E")</f>
        <v>Версия программного обеспечения V11.E</v>
      </c>
      <c r="C59" s="61" t="str">
        <f>IF(Tendering!$B$14=13,"V13.","V11.")</f>
        <v>V11.</v>
      </c>
      <c r="D59" s="61" t="str">
        <f>IF(Tendering!$B$14=13,"D","B")</f>
        <v>B</v>
      </c>
      <c r="E59" s="61" t="str">
        <f>IF(Tendering!$B$14=13,"A","E")</f>
        <v>E</v>
      </c>
      <c r="F59" s="61" t="str">
        <f>IF(Tendering!$B$14=13,"V13.A","V11.E")</f>
        <v>V11.E</v>
      </c>
    </row>
    <row r="60" spans="1:6" ht="12.75">
      <c r="A60" s="75">
        <v>7</v>
      </c>
      <c r="B60" s="79" t="str">
        <f>IF(Tendering!$B$14=13," ","Версия программного обеспечения V11.D")</f>
        <v>Версия программного обеспечения V11.D</v>
      </c>
      <c r="C60" s="61" t="str">
        <f>IF(Tendering!$B$14=13,"V13.","V11.")</f>
        <v>V11.</v>
      </c>
      <c r="D60" s="61" t="str">
        <f>IF(Tendering!$B$14=13,"D","B")</f>
        <v>B</v>
      </c>
      <c r="E60" s="61" t="str">
        <f>IF(Tendering!$B$14=13,"A","D")</f>
        <v>D</v>
      </c>
      <c r="F60" s="61" t="str">
        <f>IF(Tendering!$B$14=13,"V13.A","V11.D")</f>
        <v>V11.D</v>
      </c>
    </row>
    <row r="61" spans="1:8" ht="12.75">
      <c r="A61" s="75"/>
      <c r="B61" s="370" t="s">
        <v>191</v>
      </c>
      <c r="C61" s="371" t="s">
        <v>90</v>
      </c>
      <c r="D61" s="372" t="s">
        <v>3</v>
      </c>
      <c r="E61" s="372" t="s">
        <v>2</v>
      </c>
      <c r="F61" s="373" t="s">
        <v>103</v>
      </c>
      <c r="G61" s="206" t="s">
        <v>117</v>
      </c>
      <c r="H61" s="206"/>
    </row>
    <row r="62" spans="1:8" ht="12.75">
      <c r="A62" s="75"/>
      <c r="B62" s="370" t="str">
        <f>IF(Tendering!$B$14=13," ","Версия программного обеспечения V12.D")</f>
        <v>Версия программного обеспечения V12.D</v>
      </c>
      <c r="C62" s="371" t="str">
        <f>IF(Tendering!$B$14=13,"V13.","V12.")</f>
        <v>V12.</v>
      </c>
      <c r="D62" s="372" t="str">
        <f>IF(Tendering!$B$14=13,"D","C")</f>
        <v>C</v>
      </c>
      <c r="E62" s="372" t="str">
        <f>IF(Tendering!$B$14=13,"A","D")</f>
        <v>D</v>
      </c>
      <c r="F62" s="373" t="str">
        <f>IF(Tendering!$B$14=13,"V13.A","V12.D")</f>
        <v>V12.D</v>
      </c>
      <c r="G62" s="206"/>
      <c r="H62" s="206"/>
    </row>
    <row r="63" spans="1:8" ht="12.75">
      <c r="A63" s="75"/>
      <c r="B63" s="370" t="str">
        <f>IF(Tendering!$B$14=13," ","Версия программного обеспечения V12.C")</f>
        <v>Версия программного обеспечения V12.C</v>
      </c>
      <c r="C63" s="371" t="str">
        <f>IF(Tendering!$B$14=13,"V13.","V12.")</f>
        <v>V12.</v>
      </c>
      <c r="D63" s="372" t="str">
        <f>IF(Tendering!$B$14=13,"D","C")</f>
        <v>C</v>
      </c>
      <c r="E63" s="372" t="str">
        <f>IF(Tendering!$B$14=13,"A","C")</f>
        <v>C</v>
      </c>
      <c r="F63" s="373" t="str">
        <f>IF(Tendering!$B$14=13,"V13.A","V12.C")</f>
        <v>V12.C</v>
      </c>
      <c r="G63" s="206"/>
      <c r="H63" s="206"/>
    </row>
    <row r="64" spans="1:8" ht="12.75">
      <c r="A64" s="75"/>
      <c r="B64" s="370" t="s">
        <v>192</v>
      </c>
      <c r="C64" s="371" t="s">
        <v>90</v>
      </c>
      <c r="D64" s="372" t="s">
        <v>3</v>
      </c>
      <c r="E64" s="372" t="s">
        <v>1</v>
      </c>
      <c r="F64" s="373" t="s">
        <v>110</v>
      </c>
      <c r="G64" s="206" t="s">
        <v>117</v>
      </c>
      <c r="H64" s="206"/>
    </row>
    <row r="65" spans="1:6" ht="12.75">
      <c r="A65" s="75"/>
      <c r="B65" s="370" t="str">
        <f>IF(Tendering!$B$14=13," ","Версия программного обеспечения V11.F")</f>
        <v>Версия программного обеспечения V11.F</v>
      </c>
      <c r="C65" s="372" t="str">
        <f>IF(Tendering!$B$14=13,"V12.","V11.")</f>
        <v>V11.</v>
      </c>
      <c r="D65" s="372" t="str">
        <f>IF(Tendering!$B$14=13,"C","B")</f>
        <v>B</v>
      </c>
      <c r="E65" s="372" t="s">
        <v>16</v>
      </c>
      <c r="F65" s="372" t="str">
        <f>IF(Tendering!$B$14=13,"V12.F","V11.F")</f>
        <v>V11.F</v>
      </c>
    </row>
    <row r="66" spans="1:8" ht="12.75">
      <c r="A66" s="75"/>
      <c r="B66" s="370" t="str">
        <f>IF(Tendering!$B$14=8," ","Версия программного обеспечения V11.C")</f>
        <v>Версия программного обеспечения V11.C</v>
      </c>
      <c r="C66" s="371" t="s">
        <v>75</v>
      </c>
      <c r="D66" s="372" t="s">
        <v>2</v>
      </c>
      <c r="E66" s="372" t="str">
        <f>IF(Tendering!$B$14=8,"D","C")</f>
        <v>C</v>
      </c>
      <c r="F66" s="372" t="str">
        <f>IF(Tendering!$B$14=8,"V11.D","V11.C")</f>
        <v>V11.C</v>
      </c>
      <c r="G66" s="206" t="s">
        <v>117</v>
      </c>
      <c r="H66" s="206"/>
    </row>
    <row r="67" spans="1:8" ht="12.75">
      <c r="A67" s="75"/>
      <c r="B67" s="370" t="str">
        <f>IF(Tendering!$B$14=8," ","Версия программного обеспечения V11.A")</f>
        <v>Версия программного обеспечения V11.A</v>
      </c>
      <c r="C67" s="371" t="s">
        <v>75</v>
      </c>
      <c r="D67" s="372" t="s">
        <v>2</v>
      </c>
      <c r="E67" s="372" t="str">
        <f>IF(Tendering!$B$14=8,"D","A")</f>
        <v>A</v>
      </c>
      <c r="F67" s="372" t="str">
        <f>IF(Tendering!$B$14=8,"V11.D","V11.A")</f>
        <v>V11.A</v>
      </c>
      <c r="G67" s="206" t="s">
        <v>117</v>
      </c>
      <c r="H67" s="206"/>
    </row>
    <row r="68" spans="1:6" ht="12.75">
      <c r="A68" s="76"/>
      <c r="B68" s="374" t="str">
        <f>IF(OR(Tendering!$B$14=8,Tendering!$B$14=14,Tendering!$B$14=13)," ","Версия программного обеспечения V10.E")</f>
        <v>Версия программного обеспечения V10.E</v>
      </c>
      <c r="C68" s="375" t="str">
        <f>IF(Tendering!$B$14=13,"V12.",IF(OR(Tendering!$B$14=8,Tendering!$B$14=14),"V11.","V10."))</f>
        <v>V10.</v>
      </c>
      <c r="D68" s="375" t="str">
        <f>IF(Tendering!$B$14=13,"C",IF(OR(Tendering!$B$14=8,Tendering!$B$14=14),"B","A"))</f>
        <v>A</v>
      </c>
      <c r="E68" s="375" t="str">
        <f>IF(Tendering!$B$14=13,"F",IF(OR(Tendering!$B$14=8,Tendering!$B$14=14),"D","E"))</f>
        <v>E</v>
      </c>
      <c r="F68" s="375" t="str">
        <f>IF(Tendering!$B$14=13,"V12.F",IF(OR(Tendering!$B$14=8,Tendering!$B$14=14),"V11.D","V10.E"))</f>
        <v>V10.E</v>
      </c>
    </row>
    <row r="70" spans="1:3" ht="12.75">
      <c r="A70" s="74"/>
      <c r="B70" s="72">
        <v>1</v>
      </c>
      <c r="C70" s="65"/>
    </row>
    <row r="71" spans="1:3" ht="12.75">
      <c r="A71" s="143">
        <v>1</v>
      </c>
      <c r="B71" s="78" t="str">
        <f>IF($C$2=3,"Not applicable to phase 1 products",HLOOKUP(Configurator!$B$6,'Date Drivers'!$B$1:$R$103,87))</f>
        <v>No</v>
      </c>
      <c r="C71" s="65"/>
    </row>
    <row r="72" spans="1:3" ht="12.75">
      <c r="A72" s="144">
        <v>2</v>
      </c>
      <c r="B72" s="80" t="str">
        <f>IF($C$2=3," ",HLOOKUP(Configurator!$B$6,'Date Drivers'!$B$1:$R$103,88))</f>
        <v>Yes</v>
      </c>
      <c r="C72" s="65"/>
    </row>
    <row r="74" spans="1:10" ht="12.75">
      <c r="A74" s="74"/>
      <c r="B74" s="146" t="str">
        <f>Configurator!$G$5</f>
        <v>Z</v>
      </c>
      <c r="C74" s="147"/>
      <c r="D74" s="182"/>
      <c r="E74" s="182"/>
      <c r="F74" s="148"/>
      <c r="G74" s="149"/>
      <c r="H74" s="149"/>
      <c r="I74" s="149"/>
      <c r="J74" s="64"/>
    </row>
    <row r="75" spans="1:10" ht="12.75">
      <c r="A75" s="116" t="s">
        <v>4</v>
      </c>
      <c r="B75" s="150" t="s">
        <v>89</v>
      </c>
      <c r="C75" s="151" t="s">
        <v>55</v>
      </c>
      <c r="D75" s="184" t="s">
        <v>0</v>
      </c>
      <c r="E75" s="184" t="s">
        <v>0</v>
      </c>
      <c r="F75" s="152" t="s">
        <v>0</v>
      </c>
      <c r="G75" s="153" t="s">
        <v>4</v>
      </c>
      <c r="H75" s="153" t="s">
        <v>4</v>
      </c>
      <c r="I75" s="153" t="s">
        <v>4</v>
      </c>
      <c r="J75" s="154" t="s">
        <v>4</v>
      </c>
    </row>
    <row r="76" spans="1:10" ht="12.75">
      <c r="A76" s="75" t="s">
        <v>1</v>
      </c>
      <c r="B76" s="79" t="str">
        <f>HLOOKUP(Configurator!$B$6,'Date Drivers'!$B$1:$Q$133,89)</f>
        <v>Mounting option :</v>
      </c>
      <c r="C76" s="84" t="str">
        <f>HLOOKUP(Configurator!$B$6,'Date Drivers'!$B$1:$Q$133,90)</f>
        <v>Нет (по умолчанию)</v>
      </c>
      <c r="D76" s="145" t="str">
        <f>HLOOKUP(Configurator!$B$6,'Date Drivers'!$B$1:$Q$133,91)</f>
        <v>Встроенный ЧМИ (несъемный)</v>
      </c>
      <c r="E76" s="145" t="str">
        <f>HLOOKUP(Configurator!$B$6,'Date Drivers'!$B$1:$Q$133,92)</f>
        <v>Герметичная крышка для защиты доступа к передней панели</v>
      </c>
      <c r="F76" s="57" t="str">
        <f>HLOOKUP(Configurator!$B$6,'Date Drivers'!$B$1:$Q$133,93)</f>
        <v>Встроенный ЧМИ (несъемный) + герметичная крышка для защиты доступа к передней панели</v>
      </c>
      <c r="G76" s="111">
        <f>HLOOKUP(Configurator!$B$6,'Date Drivers'!$B$1:$Q$133,94)</f>
        <v>0</v>
      </c>
      <c r="H76" s="111">
        <f>HLOOKUP(Configurator!$B$6,'Date Drivers'!$B$1:$Q$133,95)</f>
        <v>1</v>
      </c>
      <c r="I76" s="111">
        <f>HLOOKUP(Configurator!$B$6,'Date Drivers'!$B$1:$Q$133,96)</f>
        <v>2</v>
      </c>
      <c r="J76" s="105">
        <f>HLOOKUP(Configurator!$B$6,'Date Drivers'!$B$1:$Q$133,97)</f>
        <v>3</v>
      </c>
    </row>
    <row r="77" spans="1:10" ht="12.75">
      <c r="A77" s="75" t="s">
        <v>16</v>
      </c>
      <c r="B77" s="79" t="str">
        <f>HLOOKUP(Configurator!$B$6,'Date Drivers'!$B$1:$Q$133,89)</f>
        <v>Mounting option :</v>
      </c>
      <c r="C77" s="84" t="str">
        <f>HLOOKUP(Configurator!$B$6,'Date Drivers'!$B$1:$Q$133,90)</f>
        <v>Нет (по умолчанию)</v>
      </c>
      <c r="D77" s="145" t="str">
        <f>HLOOKUP(Configurator!$B$6,'Date Drivers'!$B$1:$Q$133,91)</f>
        <v>Встроенный ЧМИ (несъемный)</v>
      </c>
      <c r="E77" s="145" t="str">
        <f>HLOOKUP(Configurator!$B$6,'Date Drivers'!$B$1:$Q$133,92)</f>
        <v>Герметичная крышка для защиты доступа к передней панели</v>
      </c>
      <c r="F77" s="57" t="str">
        <f>HLOOKUP(Configurator!$B$6,'Date Drivers'!$B$1:$Q$133,93)</f>
        <v>Встроенный ЧМИ (несъемный) + герметичная крышка для защиты доступа к передней панели</v>
      </c>
      <c r="G77" s="111">
        <f>HLOOKUP(Configurator!$B$6,'Date Drivers'!$B$1:$Q$133,94)</f>
        <v>0</v>
      </c>
      <c r="H77" s="111">
        <f>HLOOKUP(Configurator!$B$6,'Date Drivers'!$B$1:$Q$133,95)</f>
        <v>1</v>
      </c>
      <c r="I77" s="111">
        <f>HLOOKUP(Configurator!$B$6,'Date Drivers'!$B$1:$Q$133,96)</f>
        <v>2</v>
      </c>
      <c r="J77" s="105">
        <f>HLOOKUP(Configurator!$B$6,'Date Drivers'!$B$1:$Q$133,97)</f>
        <v>3</v>
      </c>
    </row>
    <row r="78" spans="1:10" ht="12.75">
      <c r="A78" s="75" t="s">
        <v>19</v>
      </c>
      <c r="B78" s="79" t="str">
        <f>HLOOKUP(Configurator!$B$6,'Date Drivers'!$B$1:$Q$133,89)</f>
        <v>Mounting option :</v>
      </c>
      <c r="C78" s="84" t="str">
        <f>HLOOKUP(Configurator!$B$6,'Date Drivers'!$B$1:$Q$133,90)</f>
        <v>Нет (по умолчанию)</v>
      </c>
      <c r="D78" s="145" t="str">
        <f>HLOOKUP(Configurator!$B$6,'Date Drivers'!$B$1:$Q$133,91)</f>
        <v>Встроенный ЧМИ (несъемный)</v>
      </c>
      <c r="E78" s="145" t="str">
        <f>HLOOKUP(Configurator!$B$6,'Date Drivers'!$B$1:$Q$133,92)</f>
        <v>Герметичная крышка для защиты доступа к передней панели</v>
      </c>
      <c r="F78" s="57" t="str">
        <f>HLOOKUP(Configurator!$B$6,'Date Drivers'!$B$1:$Q$133,93)</f>
        <v>Встроенный ЧМИ (несъемный) + герметичная крышка для защиты доступа к передней панели</v>
      </c>
      <c r="G78" s="111">
        <f>HLOOKUP(Configurator!$B$6,'Date Drivers'!$B$1:$Q$133,94)</f>
        <v>0</v>
      </c>
      <c r="H78" s="111">
        <f>HLOOKUP(Configurator!$B$6,'Date Drivers'!$B$1:$Q$133,95)</f>
        <v>1</v>
      </c>
      <c r="I78" s="111">
        <f>HLOOKUP(Configurator!$B$6,'Date Drivers'!$B$1:$Q$133,96)</f>
        <v>2</v>
      </c>
      <c r="J78" s="105">
        <f>HLOOKUP(Configurator!$B$6,'Date Drivers'!$B$1:$Q$133,97)</f>
        <v>3</v>
      </c>
    </row>
    <row r="79" spans="1:10" ht="12.75">
      <c r="A79" s="75" t="s">
        <v>5</v>
      </c>
      <c r="B79" s="196" t="s">
        <v>0</v>
      </c>
      <c r="C79" s="155" t="s">
        <v>0</v>
      </c>
      <c r="D79" s="183" t="s">
        <v>0</v>
      </c>
      <c r="E79" s="183" t="s">
        <v>0</v>
      </c>
      <c r="F79" s="156" t="s">
        <v>0</v>
      </c>
      <c r="G79" s="155" t="s">
        <v>0</v>
      </c>
      <c r="H79" s="155" t="s">
        <v>0</v>
      </c>
      <c r="I79" s="155" t="s">
        <v>0</v>
      </c>
      <c r="J79" s="156" t="s">
        <v>0</v>
      </c>
    </row>
    <row r="80" spans="1:10" ht="12.75">
      <c r="A80" s="75" t="s">
        <v>17</v>
      </c>
      <c r="B80" s="79" t="str">
        <f>HLOOKUP(Configurator!$B$6,'Date Drivers'!$B$1:$Q$133,89)</f>
        <v>Mounting option :</v>
      </c>
      <c r="C80" s="84" t="str">
        <f>HLOOKUP(Configurator!$B$6,'Date Drivers'!$B$1:$Q$133,91)</f>
        <v>Встроенный ЧМИ (несъемный)</v>
      </c>
      <c r="D80" s="145" t="str">
        <f>HLOOKUP(Configurator!$B$6,'Date Drivers'!$B$1:$Q$133,93)</f>
        <v>Встроенный ЧМИ (несъемный) + герметичная крышка для защиты доступа к передней панели</v>
      </c>
      <c r="E80" s="183" t="s">
        <v>0</v>
      </c>
      <c r="F80" s="157" t="s">
        <v>0</v>
      </c>
      <c r="G80" s="111">
        <f>HLOOKUP(Configurator!$B$6,'Date Drivers'!$B$1:$Q$133,95)</f>
        <v>1</v>
      </c>
      <c r="H80" s="111">
        <f>HLOOKUP(Configurator!$B$6,'Date Drivers'!$B$1:$Q$133,97)</f>
        <v>3</v>
      </c>
      <c r="I80" s="111">
        <f>HLOOKUP(Configurator!$B$6,'Date Drivers'!$B$1:$Q$133,97)</f>
        <v>3</v>
      </c>
      <c r="J80" s="105">
        <f>HLOOKUP(Configurator!$B$6,'Date Drivers'!$B$1:$Q$133,97)</f>
        <v>3</v>
      </c>
    </row>
    <row r="81" spans="1:10" ht="12.75">
      <c r="A81" s="75" t="s">
        <v>18</v>
      </c>
      <c r="B81" s="196" t="s">
        <v>0</v>
      </c>
      <c r="C81" s="155" t="s">
        <v>0</v>
      </c>
      <c r="D81" s="183" t="s">
        <v>0</v>
      </c>
      <c r="E81" s="183" t="s">
        <v>0</v>
      </c>
      <c r="F81" s="156" t="s">
        <v>0</v>
      </c>
      <c r="G81" s="155" t="s">
        <v>0</v>
      </c>
      <c r="H81" s="155" t="s">
        <v>0</v>
      </c>
      <c r="I81" s="155" t="s">
        <v>0</v>
      </c>
      <c r="J81" s="156" t="s">
        <v>0</v>
      </c>
    </row>
    <row r="82" spans="1:10" ht="12.75">
      <c r="A82" s="75" t="s">
        <v>34</v>
      </c>
      <c r="B82" s="79" t="str">
        <f>HLOOKUP(Configurator!$B$6,'Date Drivers'!$B$1:$Q$133,89)</f>
        <v>Mounting option :</v>
      </c>
      <c r="C82" s="84" t="str">
        <f>HLOOKUP(Configurator!$B$6,'Date Drivers'!$B$1:$Q$133,90)</f>
        <v>Нет (по умолчанию)</v>
      </c>
      <c r="D82" s="145" t="str">
        <f>HLOOKUP(Configurator!$B$6,'Date Drivers'!$B$1:$Q$133,91)</f>
        <v>Встроенный ЧМИ (несъемный)</v>
      </c>
      <c r="E82" s="145" t="str">
        <f>HLOOKUP(Configurator!$B$6,'Date Drivers'!$B$1:$Q$133,92)</f>
        <v>Герметичная крышка для защиты доступа к передней панели</v>
      </c>
      <c r="F82" s="57" t="str">
        <f>HLOOKUP(Configurator!$B$6,'Date Drivers'!$B$1:$Q$133,93)</f>
        <v>Встроенный ЧМИ (несъемный) + герметичная крышка для защиты доступа к передней панели</v>
      </c>
      <c r="G82" s="111">
        <f>HLOOKUP(Configurator!$B$6,'Date Drivers'!$B$1:$Q$133,94)</f>
        <v>0</v>
      </c>
      <c r="H82" s="111">
        <f>HLOOKUP(Configurator!$B$6,'Date Drivers'!$B$1:$Q$133,95)</f>
        <v>1</v>
      </c>
      <c r="I82" s="111">
        <f>HLOOKUP(Configurator!$B$6,'Date Drivers'!$B$1:$Q$133,96)</f>
        <v>2</v>
      </c>
      <c r="J82" s="105">
        <f>HLOOKUP(Configurator!$B$6,'Date Drivers'!$B$1:$Q$133,97)</f>
        <v>3</v>
      </c>
    </row>
    <row r="83" spans="1:10" ht="12.75">
      <c r="A83" s="75" t="s">
        <v>35</v>
      </c>
      <c r="B83" s="79" t="str">
        <f>HLOOKUP(Configurator!$B$6,'Date Drivers'!$B$1:$Q$133,89)</f>
        <v>Mounting option :</v>
      </c>
      <c r="C83" s="84" t="str">
        <f>HLOOKUP(Configurator!$B$6,'Date Drivers'!$B$1:$Q$133,90)</f>
        <v>Нет (по умолчанию)</v>
      </c>
      <c r="D83" s="145" t="str">
        <f>HLOOKUP(Configurator!$B$6,'Date Drivers'!$B$1:$Q$133,91)</f>
        <v>Встроенный ЧМИ (несъемный)</v>
      </c>
      <c r="E83" s="145" t="str">
        <f>HLOOKUP(Configurator!$B$6,'Date Drivers'!$B$1:$Q$133,92)</f>
        <v>Герметичная крышка для защиты доступа к передней панели</v>
      </c>
      <c r="F83" s="57" t="str">
        <f>HLOOKUP(Configurator!$B$6,'Date Drivers'!$B$1:$Q$133,93)</f>
        <v>Встроенный ЧМИ (несъемный) + герметичная крышка для защиты доступа к передней панели</v>
      </c>
      <c r="G83" s="111">
        <f>HLOOKUP(Configurator!$B$6,'Date Drivers'!$B$1:$Q$133,94)</f>
        <v>0</v>
      </c>
      <c r="H83" s="111">
        <f>HLOOKUP(Configurator!$B$6,'Date Drivers'!$B$1:$Q$133,95)</f>
        <v>1</v>
      </c>
      <c r="I83" s="111">
        <f>HLOOKUP(Configurator!$B$6,'Date Drivers'!$B$1:$Q$133,96)</f>
        <v>2</v>
      </c>
      <c r="J83" s="105">
        <f>HLOOKUP(Configurator!$B$6,'Date Drivers'!$B$1:$Q$133,97)</f>
        <v>3</v>
      </c>
    </row>
    <row r="84" spans="1:10" ht="12.75">
      <c r="A84" s="76" t="s">
        <v>87</v>
      </c>
      <c r="B84" s="80" t="str">
        <f>HLOOKUP(Configurator!$B$6,'Date Drivers'!$B$1:$Q$133,89)</f>
        <v>Mounting option :</v>
      </c>
      <c r="C84" s="85" t="str">
        <f>HLOOKUP(Configurator!$B$6,'Date Drivers'!$B$1:$Q$133,90)</f>
        <v>Нет (по умолчанию)</v>
      </c>
      <c r="D84" s="134" t="str">
        <f>HLOOKUP(Configurator!$B$6,'Date Drivers'!$B$1:$Q$133,91)</f>
        <v>Встроенный ЧМИ (несъемный)</v>
      </c>
      <c r="E84" s="134" t="str">
        <f>HLOOKUP(Configurator!$B$6,'Date Drivers'!$B$1:$Q$133,92)</f>
        <v>Герметичная крышка для защиты доступа к передней панели</v>
      </c>
      <c r="F84" s="58" t="str">
        <f>HLOOKUP(Configurator!$B$6,'Date Drivers'!$B$1:$Q$133,93)</f>
        <v>Встроенный ЧМИ (несъемный) + герметичная крышка для защиты доступа к передней панели</v>
      </c>
      <c r="G84" s="112">
        <f>HLOOKUP(Configurator!$B$6,'Date Drivers'!$B$1:$Q$133,94)</f>
        <v>0</v>
      </c>
      <c r="H84" s="112">
        <f>HLOOKUP(Configurator!$B$6,'Date Drivers'!$B$1:$Q$133,95)</f>
        <v>1</v>
      </c>
      <c r="I84" s="112">
        <f>HLOOKUP(Configurator!$B$6,'Date Drivers'!$B$1:$Q$133,96)</f>
        <v>2</v>
      </c>
      <c r="J84" s="126">
        <f>HLOOKUP(Configurator!$B$6,'Date Drivers'!$B$1:$Q$133,97)</f>
        <v>3</v>
      </c>
    </row>
    <row r="86" spans="1:3" ht="12.75">
      <c r="A86" s="74"/>
      <c r="C86" s="64"/>
    </row>
    <row r="87" spans="1:3" ht="12.75">
      <c r="A87" s="82">
        <v>1</v>
      </c>
      <c r="B87" s="83" t="str">
        <f>VLOOKUP($B$74,$A$75:$J$84,3)</f>
        <v>Нет (по умолчанию)</v>
      </c>
      <c r="C87" s="60">
        <f>VLOOKUP($B$74,$A$75:$J$84,7)</f>
        <v>0</v>
      </c>
    </row>
    <row r="88" spans="1:3" ht="12.75">
      <c r="A88" s="75">
        <v>2</v>
      </c>
      <c r="B88" s="84" t="str">
        <f>VLOOKUP($B$74,$A$75:$J$84,4)</f>
        <v>Встроенный ЧМИ (несъемный)</v>
      </c>
      <c r="C88" s="61">
        <f>VLOOKUP($B$74,$A$75:$J$84,8)</f>
        <v>1</v>
      </c>
    </row>
    <row r="89" spans="1:3" ht="12.75">
      <c r="A89" s="75">
        <v>3</v>
      </c>
      <c r="B89" s="84" t="str">
        <f>VLOOKUP($B$74,$A$75:$J$84,5)</f>
        <v>Герметичная крышка для защиты доступа к передней панели</v>
      </c>
      <c r="C89" s="61">
        <f>VLOOKUP($B$74,$A$75:$J$84,9)</f>
        <v>2</v>
      </c>
    </row>
    <row r="90" spans="1:6" ht="12.75">
      <c r="A90" s="76">
        <v>4</v>
      </c>
      <c r="B90" s="85" t="str">
        <f>VLOOKUP($B$74,$A$75:$J$84,6)</f>
        <v>Встроенный ЧМИ (несъемный) + герметичная крышка для защиты доступа к передней панели</v>
      </c>
      <c r="C90" s="62">
        <f>VLOOKUP($B$74,$A$75:$J$84,10)</f>
        <v>3</v>
      </c>
      <c r="E90" s="194" t="s">
        <v>0</v>
      </c>
      <c r="F90" s="195" t="s">
        <v>0</v>
      </c>
    </row>
    <row r="91" spans="5:6" ht="12.75">
      <c r="E91" s="194" t="s">
        <v>193</v>
      </c>
      <c r="F91" s="194" t="s">
        <v>112</v>
      </c>
    </row>
    <row r="92" spans="5:6" ht="12.75">
      <c r="E92" s="194" t="s">
        <v>194</v>
      </c>
      <c r="F92" s="194" t="s">
        <v>104</v>
      </c>
    </row>
    <row r="93" spans="5:6" ht="12.75">
      <c r="E93" s="194" t="s">
        <v>195</v>
      </c>
      <c r="F93" s="194" t="s">
        <v>105</v>
      </c>
    </row>
    <row r="94" spans="5:6" ht="12.75">
      <c r="E94" s="194" t="s">
        <v>196</v>
      </c>
      <c r="F94" s="194" t="s">
        <v>106</v>
      </c>
    </row>
    <row r="95" spans="5:6" ht="12.75">
      <c r="E95" s="194" t="s">
        <v>197</v>
      </c>
      <c r="F95" s="194" t="s">
        <v>107</v>
      </c>
    </row>
    <row r="96" spans="5:6" ht="12.75">
      <c r="E96" s="194" t="s">
        <v>198</v>
      </c>
      <c r="F96" s="194" t="s">
        <v>108</v>
      </c>
    </row>
    <row r="97" spans="5:6" ht="12.75">
      <c r="E97" s="194" t="s">
        <v>199</v>
      </c>
      <c r="F97" s="194" t="s">
        <v>109</v>
      </c>
    </row>
    <row r="98" spans="5:6" ht="12.75">
      <c r="E98" s="194" t="s">
        <v>192</v>
      </c>
      <c r="F98" s="194" t="s">
        <v>110</v>
      </c>
    </row>
    <row r="99" spans="5:6" ht="12.75">
      <c r="E99" s="194" t="s">
        <v>191</v>
      </c>
      <c r="F99" s="194" t="s">
        <v>103</v>
      </c>
    </row>
    <row r="100" spans="5:6" ht="12.75">
      <c r="E100" s="194" t="s">
        <v>200</v>
      </c>
      <c r="F100" s="194" t="s">
        <v>111</v>
      </c>
    </row>
  </sheetData>
  <sheetProtection password="DFED" sheet="1"/>
  <printOptions gridLines="1"/>
  <pageMargins left="0.75" right="0.75" top="0.19" bottom="0.19" header="0.5" footer="0.5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AB30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21.28125" style="336" customWidth="1"/>
    <col min="2" max="2" width="26.421875" style="348" customWidth="1"/>
    <col min="3" max="26" width="2.8515625" style="344" customWidth="1"/>
    <col min="27" max="27" width="23.00390625" style="336" customWidth="1"/>
    <col min="28" max="16384" width="11.421875" style="336" customWidth="1"/>
  </cols>
  <sheetData>
    <row r="1" spans="1:28" ht="17.25" customHeight="1">
      <c r="A1" s="333"/>
      <c r="B1" s="334"/>
      <c r="C1" s="335">
        <f aca="true" t="shared" si="0" ref="C1:Z1">IF(C3&lt;&gt;"",COLUMN(C$1:C$65536)-2,"")</f>
        <v>1</v>
      </c>
      <c r="D1" s="335">
        <f t="shared" si="0"/>
        <v>2</v>
      </c>
      <c r="E1" s="335">
        <f t="shared" si="0"/>
        <v>3</v>
      </c>
      <c r="F1" s="335">
        <f t="shared" si="0"/>
        <v>4</v>
      </c>
      <c r="G1" s="335">
        <f t="shared" si="0"/>
        <v>5</v>
      </c>
      <c r="H1" s="335">
        <f t="shared" si="0"/>
        <v>6</v>
      </c>
      <c r="I1" s="335">
        <f t="shared" si="0"/>
        <v>7</v>
      </c>
      <c r="J1" s="335">
        <f t="shared" si="0"/>
        <v>8</v>
      </c>
      <c r="K1" s="335">
        <f t="shared" si="0"/>
        <v>9</v>
      </c>
      <c r="L1" s="335">
        <f t="shared" si="0"/>
        <v>10</v>
      </c>
      <c r="M1" s="335">
        <f t="shared" si="0"/>
        <v>11</v>
      </c>
      <c r="N1" s="335">
        <f t="shared" si="0"/>
        <v>12</v>
      </c>
      <c r="O1" s="335">
        <f t="shared" si="0"/>
        <v>13</v>
      </c>
      <c r="P1" s="335">
        <f t="shared" si="0"/>
        <v>14</v>
      </c>
      <c r="Q1" s="335">
        <f t="shared" si="0"/>
      </c>
      <c r="R1" s="335">
        <f t="shared" si="0"/>
      </c>
      <c r="S1" s="335">
        <f t="shared" si="0"/>
      </c>
      <c r="T1" s="335">
        <f t="shared" si="0"/>
      </c>
      <c r="U1" s="335">
        <f t="shared" si="0"/>
      </c>
      <c r="V1" s="335">
        <f t="shared" si="0"/>
      </c>
      <c r="W1" s="335">
        <f t="shared" si="0"/>
      </c>
      <c r="X1" s="335">
        <f t="shared" si="0"/>
      </c>
      <c r="Y1" s="335">
        <f t="shared" si="0"/>
      </c>
      <c r="Z1" s="335">
        <f t="shared" si="0"/>
      </c>
      <c r="AA1" s="335">
        <f>MAX(C1:Z1,AB1)</f>
        <v>20</v>
      </c>
      <c r="AB1" s="335">
        <f>MAX(AB5:AB30)-4</f>
        <v>20</v>
      </c>
    </row>
    <row r="2" spans="1:27" ht="13.5" thickBot="1">
      <c r="A2" s="337" t="s">
        <v>121</v>
      </c>
      <c r="B2" s="338" t="s">
        <v>137</v>
      </c>
      <c r="C2" s="339" t="str">
        <f aca="true" t="shared" si="1" ref="C2:AA2">MID($B$2,COLUMN(C$1:C$65536)-2,1)</f>
        <v>P</v>
      </c>
      <c r="D2" s="339" t="str">
        <f t="shared" si="1"/>
        <v>1</v>
      </c>
      <c r="E2" s="339" t="str">
        <f t="shared" si="1"/>
        <v>2</v>
      </c>
      <c r="F2" s="339" t="str">
        <f t="shared" si="1"/>
        <v>3</v>
      </c>
      <c r="G2" s="339" t="str">
        <f t="shared" si="1"/>
        <v>C</v>
      </c>
      <c r="H2" s="339" t="str">
        <f t="shared" si="1"/>
        <v>0</v>
      </c>
      <c r="I2" s="339" t="str">
        <f t="shared" si="1"/>
        <v>0</v>
      </c>
      <c r="J2" s="339" t="str">
        <f t="shared" si="1"/>
        <v>R</v>
      </c>
      <c r="K2" s="339" t="str">
        <f t="shared" si="1"/>
        <v>8</v>
      </c>
      <c r="L2" s="339" t="str">
        <f t="shared" si="1"/>
        <v>1</v>
      </c>
      <c r="M2" s="339" t="str">
        <f t="shared" si="1"/>
        <v>2</v>
      </c>
      <c r="N2" s="339" t="str">
        <f t="shared" si="1"/>
        <v>R</v>
      </c>
      <c r="O2" s="339" t="str">
        <f t="shared" si="1"/>
        <v>D</v>
      </c>
      <c r="P2" s="339" t="str">
        <f t="shared" si="1"/>
        <v>8</v>
      </c>
      <c r="Q2" s="339">
        <f t="shared" si="1"/>
      </c>
      <c r="R2" s="339">
        <f t="shared" si="1"/>
      </c>
      <c r="S2" s="339">
        <f t="shared" si="1"/>
      </c>
      <c r="T2" s="339">
        <f t="shared" si="1"/>
      </c>
      <c r="U2" s="339">
        <f t="shared" si="1"/>
      </c>
      <c r="V2" s="339">
        <f t="shared" si="1"/>
      </c>
      <c r="W2" s="339">
        <f t="shared" si="1"/>
      </c>
      <c r="X2" s="339">
        <f t="shared" si="1"/>
      </c>
      <c r="Y2" s="339">
        <f t="shared" si="1"/>
      </c>
      <c r="Z2" s="339">
        <f t="shared" si="1"/>
      </c>
      <c r="AA2" s="339">
        <f t="shared" si="1"/>
      </c>
    </row>
    <row r="3" spans="1:27" ht="13.5" thickBot="1">
      <c r="A3" s="340" t="s">
        <v>122</v>
      </c>
      <c r="B3" s="341" t="str">
        <f>C3&amp;D3&amp;E3&amp;F3&amp;G3&amp;H3&amp;I3&amp;J3&amp;K3&amp;L3&amp;M3&amp;N3&amp;O3&amp;P3&amp;Q3&amp;R3&amp;S3&amp;T3&amp;U3&amp;V3&amp;W3&amp;X3&amp;Y3&amp;Z3</f>
        <v>P123B00Z102EA0</v>
      </c>
      <c r="C3" s="342" t="str">
        <f aca="true" t="shared" si="2" ref="C3:Z3">+C5&amp;C6&amp;C7&amp;C8&amp;C9&amp;C11&amp;C12&amp;C13&amp;C14&amp;C15&amp;C16&amp;C17&amp;C18&amp;C19&amp;C20&amp;C21&amp;C22&amp;C23&amp;C24&amp;C10&amp;C25&amp;C26&amp;C27&amp;C28&amp;C29&amp;C30</f>
        <v>P</v>
      </c>
      <c r="D3" s="342" t="str">
        <f t="shared" si="2"/>
        <v>1</v>
      </c>
      <c r="E3" s="342" t="str">
        <f t="shared" si="2"/>
        <v>2</v>
      </c>
      <c r="F3" s="342" t="str">
        <f t="shared" si="2"/>
        <v>3</v>
      </c>
      <c r="G3" s="342" t="str">
        <f t="shared" si="2"/>
        <v>B</v>
      </c>
      <c r="H3" s="342" t="str">
        <f t="shared" si="2"/>
        <v>0</v>
      </c>
      <c r="I3" s="342" t="str">
        <f t="shared" si="2"/>
        <v>0</v>
      </c>
      <c r="J3" s="342" t="str">
        <f t="shared" si="2"/>
        <v>Z</v>
      </c>
      <c r="K3" s="342" t="str">
        <f t="shared" si="2"/>
        <v>1</v>
      </c>
      <c r="L3" s="342" t="str">
        <f t="shared" si="2"/>
        <v>0</v>
      </c>
      <c r="M3" s="342" t="str">
        <f t="shared" si="2"/>
        <v>2</v>
      </c>
      <c r="N3" s="342" t="str">
        <f t="shared" si="2"/>
        <v>E</v>
      </c>
      <c r="O3" s="342" t="str">
        <f t="shared" si="2"/>
        <v>A</v>
      </c>
      <c r="P3" s="342" t="str">
        <f t="shared" si="2"/>
        <v>0</v>
      </c>
      <c r="Q3" s="342">
        <f t="shared" si="2"/>
      </c>
      <c r="R3" s="342">
        <f t="shared" si="2"/>
      </c>
      <c r="S3" s="342">
        <f t="shared" si="2"/>
      </c>
      <c r="T3" s="342">
        <f t="shared" si="2"/>
      </c>
      <c r="U3" s="342">
        <f t="shared" si="2"/>
      </c>
      <c r="V3" s="342">
        <f t="shared" si="2"/>
      </c>
      <c r="W3" s="342">
        <f t="shared" si="2"/>
      </c>
      <c r="X3" s="342">
        <f t="shared" si="2"/>
      </c>
      <c r="Y3" s="342">
        <f t="shared" si="2"/>
      </c>
      <c r="Z3" s="342">
        <f t="shared" si="2"/>
      </c>
      <c r="AA3" s="342" t="s">
        <v>123</v>
      </c>
    </row>
    <row r="4" ht="12.75">
      <c r="B4" s="343">
        <v>0</v>
      </c>
    </row>
    <row r="5" spans="1:28" ht="12.75">
      <c r="A5" s="336" t="s">
        <v>124</v>
      </c>
      <c r="B5" s="345"/>
      <c r="C5" s="344" t="s">
        <v>125</v>
      </c>
      <c r="AB5" s="336">
        <f>+IF(AND(ISBLANK(A5),ISBLANK(B5)),0,ROW(A5))</f>
        <v>5</v>
      </c>
    </row>
    <row r="6" spans="1:28" ht="12.75">
      <c r="A6" s="336" t="s">
        <v>126</v>
      </c>
      <c r="B6" s="345"/>
      <c r="D6" s="344">
        <v>1</v>
      </c>
      <c r="AB6" s="336">
        <f aca="true" t="shared" si="3" ref="AB6:AB21">+IF(AND(ISBLANK(A6),ISBLANK(B6)),0,ROW(A6))</f>
        <v>6</v>
      </c>
    </row>
    <row r="7" spans="1:28" ht="12.75">
      <c r="A7" s="336" t="s">
        <v>127</v>
      </c>
      <c r="B7" s="345"/>
      <c r="E7" s="344">
        <v>2</v>
      </c>
      <c r="AB7" s="336">
        <f t="shared" si="3"/>
        <v>7</v>
      </c>
    </row>
    <row r="8" spans="1:28" ht="12.75">
      <c r="A8" s="336" t="s">
        <v>128</v>
      </c>
      <c r="B8" s="345"/>
      <c r="F8" s="344">
        <v>3</v>
      </c>
      <c r="AB8" s="336">
        <f t="shared" si="3"/>
        <v>8</v>
      </c>
    </row>
    <row r="9" spans="1:28" ht="12.75">
      <c r="A9" s="349" t="s">
        <v>129</v>
      </c>
      <c r="B9" s="331">
        <v>2</v>
      </c>
      <c r="G9" s="344" t="str">
        <f>IF(OR(ISERR(Configurator!D$5),ISNA(Configurator!D$5)),"_",Configurator!D$5)</f>
        <v>B</v>
      </c>
      <c r="AB9" s="336">
        <f>+IF(AND(ISBLANK(A9),ISBLANK(#REF!)),0,ROW(A9))</f>
        <v>9</v>
      </c>
    </row>
    <row r="10" spans="1:28" ht="12.75">
      <c r="A10" s="336" t="s">
        <v>136</v>
      </c>
      <c r="B10" s="345"/>
      <c r="H10" s="344">
        <v>0</v>
      </c>
      <c r="I10" s="344">
        <v>0</v>
      </c>
      <c r="AB10" s="336">
        <f>+IF(AND(ISBLANK(A10),ISBLANK(B10)),0,ROW(A10))</f>
        <v>10</v>
      </c>
    </row>
    <row r="11" spans="1:28" ht="12.75">
      <c r="A11" s="349" t="s">
        <v>130</v>
      </c>
      <c r="B11" s="331">
        <v>2</v>
      </c>
      <c r="J11" s="344" t="str">
        <f>IF(OR(ISERR(Configurator!G$5),ISNA(Configurator!G$5)),"_",Configurator!G$5)</f>
        <v>Z</v>
      </c>
      <c r="AB11" s="336">
        <f>+IF(AND(ISBLANK(A11),ISBLANK(#REF!)),0,ROW(A11))</f>
        <v>11</v>
      </c>
    </row>
    <row r="12" spans="1:28" ht="12.75">
      <c r="A12" s="349" t="s">
        <v>131</v>
      </c>
      <c r="B12" s="332">
        <v>1</v>
      </c>
      <c r="AB12" s="336">
        <f>+IF(AND(ISBLANK(A12),ISBLANK(#REF!)),0,ROW(A12))</f>
        <v>12</v>
      </c>
    </row>
    <row r="13" spans="1:28" ht="12.75">
      <c r="A13" s="349" t="s">
        <v>132</v>
      </c>
      <c r="B13" s="331">
        <v>1</v>
      </c>
      <c r="K13" s="344">
        <f>IF(OR(ISERR(Configurator!H$5),ISNA(Configurator!H$5)),"_",Configurator!H$5)</f>
        <v>1</v>
      </c>
      <c r="AB13" s="336">
        <f>+IF(AND(ISBLANK(A13),ISBLANK(#REF!)),0,ROW(A13))</f>
        <v>13</v>
      </c>
    </row>
    <row r="14" spans="1:28" ht="12.75">
      <c r="A14" s="349" t="s">
        <v>133</v>
      </c>
      <c r="B14" s="331">
        <v>1</v>
      </c>
      <c r="L14" s="344">
        <f>IF(OR(ISERR(Configurator!I$5),ISNA(Configurator!I$5)),"_",Configurator!I$5)</f>
        <v>0</v>
      </c>
      <c r="M14" s="344" t="str">
        <f>IF(OR(ISERR(Configurator!J$5),ISNA(Configurator!J$5)),"_",Configurator!J$5)</f>
        <v>2</v>
      </c>
      <c r="AB14" s="336">
        <f>+IF(AND(ISBLANK(A14),ISBLANK(#REF!)),0,ROW(A14))</f>
        <v>14</v>
      </c>
    </row>
    <row r="15" spans="1:28" ht="12.75">
      <c r="A15" s="349" t="s">
        <v>134</v>
      </c>
      <c r="B15" s="332">
        <v>1</v>
      </c>
      <c r="N15" s="344" t="str">
        <f>IF(OR(ISERR(Configurator!K$5),ISNA(Configurator!K$5)),"_",Configurator!K$5)</f>
        <v>E</v>
      </c>
      <c r="O15" s="344" t="str">
        <f>IF(OR(ISERR(Configurator!L$5),ISNA(Configurator!L$5)),"_",Configurator!L$5)</f>
        <v>A</v>
      </c>
      <c r="AB15" s="336">
        <f>+IF(AND(ISBLANK(A15),ISBLANK(#REF!)),0,ROW(A15))</f>
        <v>15</v>
      </c>
    </row>
    <row r="16" spans="1:28" ht="12.75">
      <c r="A16" s="349" t="s">
        <v>135</v>
      </c>
      <c r="B16" s="332">
        <v>1</v>
      </c>
      <c r="P16" s="344">
        <f>IF(OR(ISERR(Configurator!M$5),ISNA(Configurator!M$5)),"_",Configurator!M$5)</f>
        <v>0</v>
      </c>
      <c r="AB16" s="336">
        <f>+IF(AND(ISBLANK(A16),ISBLANK(#REF!)),0,ROW(A16))</f>
        <v>16</v>
      </c>
    </row>
    <row r="17" spans="2:28" ht="12.75">
      <c r="B17" s="346">
        <v>0</v>
      </c>
      <c r="AB17" s="336">
        <f t="shared" si="3"/>
        <v>17</v>
      </c>
    </row>
    <row r="18" spans="2:28" ht="12.75">
      <c r="B18" s="345"/>
      <c r="AB18" s="336">
        <f t="shared" si="3"/>
        <v>0</v>
      </c>
    </row>
    <row r="19" spans="2:28" ht="12.75">
      <c r="B19" s="346">
        <v>0</v>
      </c>
      <c r="AB19" s="336">
        <f t="shared" si="3"/>
        <v>19</v>
      </c>
    </row>
    <row r="20" spans="2:28" ht="12.75">
      <c r="B20" s="346">
        <v>0</v>
      </c>
      <c r="AB20" s="336">
        <f t="shared" si="3"/>
        <v>20</v>
      </c>
    </row>
    <row r="21" spans="2:28" ht="12.75">
      <c r="B21" s="346">
        <v>0</v>
      </c>
      <c r="AB21" s="336">
        <f t="shared" si="3"/>
        <v>21</v>
      </c>
    </row>
    <row r="22" spans="2:28" ht="12.75">
      <c r="B22" s="347">
        <v>0</v>
      </c>
      <c r="AB22" s="336">
        <f>+IF(AND(ISBLANK(A22),ISBLANK(B23)),0,ROW(A22))</f>
        <v>22</v>
      </c>
    </row>
    <row r="23" spans="2:28" ht="12.75">
      <c r="B23" s="346">
        <v>0</v>
      </c>
      <c r="AB23" s="336">
        <f>+IF(AND(ISBLANK(A23),ISBLANK(B24)),0,ROW(A23))</f>
        <v>23</v>
      </c>
    </row>
    <row r="24" spans="2:28" ht="12.75">
      <c r="B24" s="346">
        <v>0</v>
      </c>
      <c r="AB24" s="336">
        <f>+IF(AND(ISBLANK(A24),ISBLANK(#REF!)),0,ROW(A24))</f>
        <v>24</v>
      </c>
    </row>
    <row r="25" spans="2:28" ht="12.75">
      <c r="B25" s="345"/>
      <c r="AB25" s="336">
        <f aca="true" t="shared" si="4" ref="AB25:AB30">+IF(AND(ISBLANK(A25),ISBLANK(B25)),0,ROW(A25))</f>
        <v>0</v>
      </c>
    </row>
    <row r="26" spans="2:28" ht="12.75">
      <c r="B26" s="345"/>
      <c r="AB26" s="336">
        <f t="shared" si="4"/>
        <v>0</v>
      </c>
    </row>
    <row r="27" spans="2:28" ht="12.75">
      <c r="B27" s="345"/>
      <c r="AB27" s="336">
        <f t="shared" si="4"/>
        <v>0</v>
      </c>
    </row>
    <row r="28" spans="2:28" ht="12.75">
      <c r="B28" s="345"/>
      <c r="AB28" s="336">
        <f t="shared" si="4"/>
        <v>0</v>
      </c>
    </row>
    <row r="29" spans="2:28" ht="12.75">
      <c r="B29" s="345"/>
      <c r="AB29" s="336">
        <f t="shared" si="4"/>
        <v>0</v>
      </c>
    </row>
    <row r="30" spans="2:28" ht="12.75">
      <c r="B30" s="345"/>
      <c r="AB30" s="336">
        <f t="shared" si="4"/>
        <v>0</v>
      </c>
    </row>
  </sheetData>
  <sheetProtection/>
  <conditionalFormatting sqref="B3:AA3">
    <cfRule type="expression" priority="1" dxfId="0" stopIfTrue="1">
      <formula>AND(B3=B2,B3&lt;&gt;"")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97"/>
  <sheetViews>
    <sheetView zoomScale="75" zoomScaleNormal="75" zoomScalePageLayoutView="0" workbookViewId="0" topLeftCell="A1">
      <pane xSplit="1" ySplit="1" topLeftCell="O6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93" sqref="Q93"/>
    </sheetView>
  </sheetViews>
  <sheetFormatPr defaultColWidth="9.140625" defaultRowHeight="12.75"/>
  <cols>
    <col min="1" max="1" width="21.28125" style="12" bestFit="1" customWidth="1"/>
    <col min="2" max="2" width="34.421875" style="1" bestFit="1" customWidth="1"/>
    <col min="3" max="3" width="34.421875" style="1" customWidth="1"/>
    <col min="4" max="4" width="41.8515625" style="1" customWidth="1"/>
    <col min="5" max="5" width="45.00390625" style="1" bestFit="1" customWidth="1"/>
    <col min="6" max="7" width="62.421875" style="1" customWidth="1"/>
    <col min="8" max="17" width="62.421875" style="1" bestFit="1" customWidth="1"/>
  </cols>
  <sheetData>
    <row r="1" spans="1:17" s="12" customFormat="1" ht="12.75">
      <c r="A1" s="8">
        <f>Configurator!$B$6</f>
        <v>42794</v>
      </c>
      <c r="B1" s="87">
        <v>38000</v>
      </c>
      <c r="C1" s="87">
        <v>38001</v>
      </c>
      <c r="D1" s="88">
        <v>38763</v>
      </c>
      <c r="E1" s="88">
        <v>38842</v>
      </c>
      <c r="F1" s="88">
        <v>39142</v>
      </c>
      <c r="G1" s="88">
        <v>39244</v>
      </c>
      <c r="H1" s="88">
        <v>39282</v>
      </c>
      <c r="I1" s="88">
        <v>39435</v>
      </c>
      <c r="J1" s="88">
        <v>39629</v>
      </c>
      <c r="K1" s="88">
        <v>39786</v>
      </c>
      <c r="L1" s="88">
        <v>39869</v>
      </c>
      <c r="M1" s="88">
        <v>39882</v>
      </c>
      <c r="N1" s="88">
        <v>39961</v>
      </c>
      <c r="O1" s="88">
        <v>40085</v>
      </c>
      <c r="P1" s="88">
        <v>40116</v>
      </c>
      <c r="Q1" s="88">
        <v>40317</v>
      </c>
    </row>
    <row r="2" spans="1:17" s="4" customFormat="1" ht="12.75">
      <c r="A2" s="47" t="s">
        <v>20</v>
      </c>
      <c r="B2" s="7" t="s">
        <v>116</v>
      </c>
      <c r="C2" s="7" t="s">
        <v>116</v>
      </c>
      <c r="D2" s="106" t="s">
        <v>114</v>
      </c>
      <c r="E2" s="106" t="s">
        <v>114</v>
      </c>
      <c r="F2" s="7" t="s">
        <v>114</v>
      </c>
      <c r="G2" s="7" t="s">
        <v>114</v>
      </c>
      <c r="H2" s="7" t="s">
        <v>114</v>
      </c>
      <c r="I2" s="7" t="s">
        <v>114</v>
      </c>
      <c r="J2" s="7" t="s">
        <v>114</v>
      </c>
      <c r="K2" s="7" t="s">
        <v>114</v>
      </c>
      <c r="L2" s="7" t="s">
        <v>114</v>
      </c>
      <c r="M2" s="7" t="s">
        <v>114</v>
      </c>
      <c r="N2" s="7" t="s">
        <v>114</v>
      </c>
      <c r="O2" s="7" t="s">
        <v>114</v>
      </c>
      <c r="P2" s="7" t="s">
        <v>114</v>
      </c>
      <c r="Q2" s="7" t="s">
        <v>114</v>
      </c>
    </row>
    <row r="3" spans="1:17" s="4" customFormat="1" ht="12.75">
      <c r="A3" s="48"/>
      <c r="B3" s="163" t="s">
        <v>0</v>
      </c>
      <c r="C3" s="163" t="s">
        <v>0</v>
      </c>
      <c r="D3" s="107" t="s">
        <v>116</v>
      </c>
      <c r="E3" s="107" t="s">
        <v>116</v>
      </c>
      <c r="F3" s="9" t="s">
        <v>115</v>
      </c>
      <c r="G3" s="9" t="s">
        <v>115</v>
      </c>
      <c r="H3" s="9" t="s">
        <v>115</v>
      </c>
      <c r="I3" s="9" t="s">
        <v>115</v>
      </c>
      <c r="J3" s="9" t="s">
        <v>115</v>
      </c>
      <c r="K3" s="9" t="s">
        <v>115</v>
      </c>
      <c r="L3" s="9" t="s">
        <v>115</v>
      </c>
      <c r="M3" s="9" t="s">
        <v>115</v>
      </c>
      <c r="N3" s="9" t="s">
        <v>115</v>
      </c>
      <c r="O3" s="9" t="s">
        <v>115</v>
      </c>
      <c r="P3" s="9" t="s">
        <v>115</v>
      </c>
      <c r="Q3" s="9" t="s">
        <v>115</v>
      </c>
    </row>
    <row r="4" spans="1:17" s="4" customFormat="1" ht="12.75">
      <c r="A4" s="48"/>
      <c r="B4" s="164" t="s">
        <v>0</v>
      </c>
      <c r="C4" s="164" t="s">
        <v>0</v>
      </c>
      <c r="D4" s="163" t="s">
        <v>0</v>
      </c>
      <c r="E4" s="165" t="s">
        <v>0</v>
      </c>
      <c r="F4" s="108" t="s">
        <v>116</v>
      </c>
      <c r="G4" s="108" t="s">
        <v>116</v>
      </c>
      <c r="H4" s="108" t="s">
        <v>116</v>
      </c>
      <c r="I4" s="108" t="s">
        <v>116</v>
      </c>
      <c r="J4" s="108" t="s">
        <v>116</v>
      </c>
      <c r="K4" s="108" t="s">
        <v>116</v>
      </c>
      <c r="L4" s="108" t="s">
        <v>116</v>
      </c>
      <c r="M4" s="108" t="s">
        <v>116</v>
      </c>
      <c r="N4" s="108" t="s">
        <v>116</v>
      </c>
      <c r="O4" s="108" t="s">
        <v>116</v>
      </c>
      <c r="P4" s="108" t="s">
        <v>116</v>
      </c>
      <c r="Q4" s="108" t="s">
        <v>116</v>
      </c>
    </row>
    <row r="5" spans="1:17" s="4" customFormat="1" ht="12.75">
      <c r="A5" s="48"/>
      <c r="B5" s="7">
        <v>1</v>
      </c>
      <c r="C5" s="7">
        <v>1</v>
      </c>
      <c r="D5" s="7">
        <v>2</v>
      </c>
      <c r="E5" s="7">
        <v>2</v>
      </c>
      <c r="F5" s="7">
        <v>2</v>
      </c>
      <c r="G5" s="7">
        <v>2</v>
      </c>
      <c r="H5" s="7">
        <v>2</v>
      </c>
      <c r="I5" s="7">
        <v>2</v>
      </c>
      <c r="J5" s="7">
        <v>2</v>
      </c>
      <c r="K5" s="7">
        <v>2</v>
      </c>
      <c r="L5" s="7">
        <v>2</v>
      </c>
      <c r="M5" s="7">
        <v>2</v>
      </c>
      <c r="N5" s="7">
        <v>2</v>
      </c>
      <c r="O5" s="7">
        <v>2</v>
      </c>
      <c r="P5" s="7">
        <v>2</v>
      </c>
      <c r="Q5" s="7">
        <v>2</v>
      </c>
    </row>
    <row r="6" spans="1:17" s="4" customFormat="1" ht="12.75">
      <c r="A6" s="48"/>
      <c r="B6" s="9">
        <v>1</v>
      </c>
      <c r="C6" s="9">
        <v>1</v>
      </c>
      <c r="D6" s="9">
        <v>1</v>
      </c>
      <c r="E6" s="9">
        <v>1</v>
      </c>
      <c r="F6" s="9">
        <v>3</v>
      </c>
      <c r="G6" s="9">
        <v>3</v>
      </c>
      <c r="H6" s="9">
        <v>3</v>
      </c>
      <c r="I6" s="9">
        <v>3</v>
      </c>
      <c r="J6" s="9">
        <v>3</v>
      </c>
      <c r="K6" s="9">
        <v>3</v>
      </c>
      <c r="L6" s="9">
        <v>3</v>
      </c>
      <c r="M6" s="9">
        <v>3</v>
      </c>
      <c r="N6" s="9">
        <v>3</v>
      </c>
      <c r="O6" s="9">
        <v>3</v>
      </c>
      <c r="P6" s="9">
        <v>3</v>
      </c>
      <c r="Q6" s="9">
        <v>3</v>
      </c>
    </row>
    <row r="7" spans="1:17" s="4" customFormat="1" ht="12.75">
      <c r="A7" s="49"/>
      <c r="B7" s="18">
        <v>1</v>
      </c>
      <c r="C7" s="18">
        <v>1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18">
        <v>1</v>
      </c>
      <c r="P7" s="18">
        <v>1</v>
      </c>
      <c r="Q7" s="18">
        <v>1</v>
      </c>
    </row>
    <row r="8" spans="1:17" s="4" customFormat="1" ht="12.75">
      <c r="A8" s="47" t="s">
        <v>23</v>
      </c>
      <c r="B8" s="7" t="s">
        <v>24</v>
      </c>
      <c r="C8" s="7" t="s">
        <v>24</v>
      </c>
      <c r="D8" s="9" t="s">
        <v>24</v>
      </c>
      <c r="E8" s="7" t="s">
        <v>24</v>
      </c>
      <c r="F8" s="7" t="s">
        <v>24</v>
      </c>
      <c r="G8" s="7" t="s">
        <v>24</v>
      </c>
      <c r="H8" s="7" t="s">
        <v>24</v>
      </c>
      <c r="I8" s="7" t="s">
        <v>24</v>
      </c>
      <c r="J8" s="7" t="s">
        <v>24</v>
      </c>
      <c r="K8" s="7" t="s">
        <v>24</v>
      </c>
      <c r="L8" s="7" t="s">
        <v>24</v>
      </c>
      <c r="M8" s="7" t="s">
        <v>24</v>
      </c>
      <c r="N8" s="7" t="s">
        <v>24</v>
      </c>
      <c r="O8" s="7" t="s">
        <v>24</v>
      </c>
      <c r="P8" s="7" t="s">
        <v>24</v>
      </c>
      <c r="Q8" s="7" t="s">
        <v>144</v>
      </c>
    </row>
    <row r="9" spans="1:17" s="4" customFormat="1" ht="12.75">
      <c r="A9" s="48"/>
      <c r="B9" s="9" t="s">
        <v>25</v>
      </c>
      <c r="C9" s="9" t="s">
        <v>25</v>
      </c>
      <c r="D9" s="9" t="s">
        <v>25</v>
      </c>
      <c r="E9" s="9" t="s">
        <v>25</v>
      </c>
      <c r="F9" s="9" t="s">
        <v>25</v>
      </c>
      <c r="G9" s="9" t="s">
        <v>25</v>
      </c>
      <c r="H9" s="9" t="s">
        <v>25</v>
      </c>
      <c r="I9" s="9" t="s">
        <v>25</v>
      </c>
      <c r="J9" s="9" t="s">
        <v>25</v>
      </c>
      <c r="K9" s="9" t="s">
        <v>25</v>
      </c>
      <c r="L9" s="9" t="s">
        <v>25</v>
      </c>
      <c r="M9" s="9" t="s">
        <v>25</v>
      </c>
      <c r="N9" s="9" t="s">
        <v>25</v>
      </c>
      <c r="O9" s="9" t="s">
        <v>25</v>
      </c>
      <c r="P9" s="9" t="s">
        <v>25</v>
      </c>
      <c r="Q9" s="9" t="s">
        <v>145</v>
      </c>
    </row>
    <row r="10" spans="1:17" s="4" customFormat="1" ht="12.75">
      <c r="A10" s="48"/>
      <c r="B10" s="10" t="s">
        <v>26</v>
      </c>
      <c r="C10" s="10" t="s">
        <v>26</v>
      </c>
      <c r="D10" s="10" t="s">
        <v>26</v>
      </c>
      <c r="E10" s="10" t="s">
        <v>26</v>
      </c>
      <c r="F10" s="10" t="s">
        <v>26</v>
      </c>
      <c r="G10" s="10" t="s">
        <v>26</v>
      </c>
      <c r="H10" s="10" t="s">
        <v>26</v>
      </c>
      <c r="I10" s="10" t="s">
        <v>26</v>
      </c>
      <c r="J10" s="10" t="s">
        <v>26</v>
      </c>
      <c r="K10" s="10" t="s">
        <v>26</v>
      </c>
      <c r="L10" s="10" t="s">
        <v>26</v>
      </c>
      <c r="M10" s="10" t="s">
        <v>26</v>
      </c>
      <c r="N10" s="10" t="s">
        <v>26</v>
      </c>
      <c r="O10" s="10" t="s">
        <v>26</v>
      </c>
      <c r="P10" s="10" t="s">
        <v>26</v>
      </c>
      <c r="Q10" s="10" t="s">
        <v>146</v>
      </c>
    </row>
    <row r="11" spans="1:17" s="4" customFormat="1" ht="12.75">
      <c r="A11" s="48"/>
      <c r="B11" s="7" t="s">
        <v>1</v>
      </c>
      <c r="C11" s="7" t="s">
        <v>1</v>
      </c>
      <c r="D11" s="7" t="s">
        <v>1</v>
      </c>
      <c r="E11" s="7" t="s">
        <v>1</v>
      </c>
      <c r="F11" s="7" t="s">
        <v>1</v>
      </c>
      <c r="G11" s="7" t="s">
        <v>1</v>
      </c>
      <c r="H11" s="7" t="s">
        <v>1</v>
      </c>
      <c r="I11" s="7" t="s">
        <v>1</v>
      </c>
      <c r="J11" s="7" t="s">
        <v>1</v>
      </c>
      <c r="K11" s="7" t="s">
        <v>1</v>
      </c>
      <c r="L11" s="7" t="s">
        <v>1</v>
      </c>
      <c r="M11" s="7" t="s">
        <v>1</v>
      </c>
      <c r="N11" s="7" t="s">
        <v>1</v>
      </c>
      <c r="O11" s="7" t="s">
        <v>1</v>
      </c>
      <c r="P11" s="7" t="s">
        <v>1</v>
      </c>
      <c r="Q11" s="7" t="s">
        <v>1</v>
      </c>
    </row>
    <row r="12" spans="1:17" s="4" customFormat="1" ht="12.75">
      <c r="A12" s="48"/>
      <c r="B12" s="9" t="s">
        <v>2</v>
      </c>
      <c r="C12" s="9" t="s">
        <v>2</v>
      </c>
      <c r="D12" s="9" t="s">
        <v>2</v>
      </c>
      <c r="E12" s="9" t="s">
        <v>2</v>
      </c>
      <c r="F12" s="9" t="s">
        <v>2</v>
      </c>
      <c r="G12" s="9" t="s">
        <v>2</v>
      </c>
      <c r="H12" s="9" t="s">
        <v>2</v>
      </c>
      <c r="I12" s="9" t="s">
        <v>2</v>
      </c>
      <c r="J12" s="9" t="s">
        <v>2</v>
      </c>
      <c r="K12" s="9" t="s">
        <v>2</v>
      </c>
      <c r="L12" s="9" t="s">
        <v>2</v>
      </c>
      <c r="M12" s="9" t="s">
        <v>2</v>
      </c>
      <c r="N12" s="9" t="s">
        <v>2</v>
      </c>
      <c r="O12" s="9" t="s">
        <v>2</v>
      </c>
      <c r="P12" s="9" t="s">
        <v>2</v>
      </c>
      <c r="Q12" s="9" t="s">
        <v>2</v>
      </c>
    </row>
    <row r="13" spans="1:17" s="4" customFormat="1" ht="12.75">
      <c r="A13" s="49"/>
      <c r="B13" s="10" t="s">
        <v>3</v>
      </c>
      <c r="C13" s="10" t="s">
        <v>3</v>
      </c>
      <c r="D13" s="10" t="s">
        <v>3</v>
      </c>
      <c r="E13" s="10" t="s">
        <v>3</v>
      </c>
      <c r="F13" s="10" t="s">
        <v>3</v>
      </c>
      <c r="G13" s="10" t="s">
        <v>3</v>
      </c>
      <c r="H13" s="10" t="s">
        <v>3</v>
      </c>
      <c r="I13" s="10" t="s">
        <v>3</v>
      </c>
      <c r="J13" s="10" t="s">
        <v>3</v>
      </c>
      <c r="K13" s="10" t="s">
        <v>3</v>
      </c>
      <c r="L13" s="10" t="s">
        <v>3</v>
      </c>
      <c r="M13" s="10" t="s">
        <v>3</v>
      </c>
      <c r="N13" s="10" t="s">
        <v>3</v>
      </c>
      <c r="O13" s="10" t="s">
        <v>3</v>
      </c>
      <c r="P13" s="10" t="s">
        <v>3</v>
      </c>
      <c r="Q13" s="10" t="s">
        <v>3</v>
      </c>
    </row>
    <row r="14" spans="1:17" s="4" customFormat="1" ht="12.75">
      <c r="A14" s="47" t="s">
        <v>27</v>
      </c>
      <c r="B14" s="7" t="s">
        <v>6</v>
      </c>
      <c r="C14" s="7" t="s">
        <v>6</v>
      </c>
      <c r="D14" s="7" t="s">
        <v>6</v>
      </c>
      <c r="E14" s="7" t="s">
        <v>6</v>
      </c>
      <c r="F14" s="7" t="s">
        <v>6</v>
      </c>
      <c r="G14" s="7" t="s">
        <v>6</v>
      </c>
      <c r="H14" s="7" t="s">
        <v>6</v>
      </c>
      <c r="I14" s="7" t="s">
        <v>6</v>
      </c>
      <c r="J14" s="7" t="s">
        <v>6</v>
      </c>
      <c r="K14" s="7" t="s">
        <v>6</v>
      </c>
      <c r="L14" s="7" t="s">
        <v>6</v>
      </c>
      <c r="M14" s="7" t="s">
        <v>6</v>
      </c>
      <c r="N14" s="7" t="s">
        <v>6</v>
      </c>
      <c r="O14" s="7" t="s">
        <v>6</v>
      </c>
      <c r="P14" s="7" t="s">
        <v>6</v>
      </c>
      <c r="Q14" s="9" t="s">
        <v>30</v>
      </c>
    </row>
    <row r="15" spans="1:17" s="4" customFormat="1" ht="12.75">
      <c r="A15" s="48"/>
      <c r="B15" s="9" t="s">
        <v>7</v>
      </c>
      <c r="C15" s="9" t="s">
        <v>7</v>
      </c>
      <c r="D15" s="9" t="s">
        <v>30</v>
      </c>
      <c r="E15" s="9" t="s">
        <v>30</v>
      </c>
      <c r="F15" s="9" t="s">
        <v>30</v>
      </c>
      <c r="G15" s="9" t="s">
        <v>30</v>
      </c>
      <c r="H15" s="9" t="s">
        <v>30</v>
      </c>
      <c r="I15" s="9" t="s">
        <v>30</v>
      </c>
      <c r="J15" s="9" t="s">
        <v>30</v>
      </c>
      <c r="K15" s="9" t="s">
        <v>30</v>
      </c>
      <c r="L15" s="9" t="s">
        <v>30</v>
      </c>
      <c r="M15" s="9" t="s">
        <v>30</v>
      </c>
      <c r="N15" s="9" t="s">
        <v>30</v>
      </c>
      <c r="O15" s="9" t="s">
        <v>30</v>
      </c>
      <c r="P15" s="9" t="s">
        <v>30</v>
      </c>
      <c r="Q15" s="17" t="s">
        <v>113</v>
      </c>
    </row>
    <row r="16" spans="1:17" s="4" customFormat="1" ht="12.75">
      <c r="A16" s="48"/>
      <c r="B16" s="9" t="s">
        <v>29</v>
      </c>
      <c r="C16" s="9" t="s">
        <v>8</v>
      </c>
      <c r="D16" s="163" t="s">
        <v>0</v>
      </c>
      <c r="E16" s="163" t="s">
        <v>0</v>
      </c>
      <c r="F16" s="163" t="s">
        <v>0</v>
      </c>
      <c r="G16" s="163" t="s">
        <v>0</v>
      </c>
      <c r="H16" s="163" t="s">
        <v>0</v>
      </c>
      <c r="I16" s="163" t="s">
        <v>0</v>
      </c>
      <c r="J16" s="163" t="s">
        <v>0</v>
      </c>
      <c r="K16" s="163" t="s">
        <v>0</v>
      </c>
      <c r="L16" s="163" t="s">
        <v>0</v>
      </c>
      <c r="M16" s="163" t="s">
        <v>0</v>
      </c>
      <c r="N16" s="163" t="s">
        <v>0</v>
      </c>
      <c r="O16" s="17" t="s">
        <v>113</v>
      </c>
      <c r="P16" s="17" t="s">
        <v>113</v>
      </c>
      <c r="Q16" s="163" t="s">
        <v>0</v>
      </c>
    </row>
    <row r="17" spans="1:17" s="4" customFormat="1" ht="12.75">
      <c r="A17" s="48"/>
      <c r="B17" s="9" t="s">
        <v>28</v>
      </c>
      <c r="C17" s="9" t="s">
        <v>29</v>
      </c>
      <c r="D17" s="163" t="s">
        <v>0</v>
      </c>
      <c r="E17" s="163" t="s">
        <v>0</v>
      </c>
      <c r="F17" s="163" t="s">
        <v>0</v>
      </c>
      <c r="G17" s="163" t="s">
        <v>0</v>
      </c>
      <c r="H17" s="163" t="s">
        <v>0</v>
      </c>
      <c r="I17" s="163" t="s">
        <v>0</v>
      </c>
      <c r="J17" s="163" t="s">
        <v>0</v>
      </c>
      <c r="K17" s="163" t="s">
        <v>0</v>
      </c>
      <c r="L17" s="163" t="s">
        <v>0</v>
      </c>
      <c r="M17" s="163" t="s">
        <v>0</v>
      </c>
      <c r="N17" s="163" t="s">
        <v>0</v>
      </c>
      <c r="O17" s="163" t="s">
        <v>0</v>
      </c>
      <c r="P17" s="163" t="s">
        <v>0</v>
      </c>
      <c r="Q17" s="163" t="s">
        <v>0</v>
      </c>
    </row>
    <row r="18" spans="1:17" s="4" customFormat="1" ht="12.75">
      <c r="A18" s="49"/>
      <c r="B18" s="9" t="s">
        <v>8</v>
      </c>
      <c r="C18" s="163" t="s">
        <v>0</v>
      </c>
      <c r="D18" s="166" t="s">
        <v>0</v>
      </c>
      <c r="E18" s="166" t="s">
        <v>0</v>
      </c>
      <c r="F18" s="166" t="s">
        <v>0</v>
      </c>
      <c r="G18" s="166" t="s">
        <v>0</v>
      </c>
      <c r="H18" s="166" t="s">
        <v>0</v>
      </c>
      <c r="I18" s="166" t="s">
        <v>0</v>
      </c>
      <c r="J18" s="166" t="s">
        <v>0</v>
      </c>
      <c r="K18" s="166" t="s">
        <v>0</v>
      </c>
      <c r="L18" s="166" t="s">
        <v>0</v>
      </c>
      <c r="M18" s="166" t="s">
        <v>0</v>
      </c>
      <c r="N18" s="166" t="s">
        <v>0</v>
      </c>
      <c r="O18" s="166" t="s">
        <v>0</v>
      </c>
      <c r="P18" s="166" t="s">
        <v>0</v>
      </c>
      <c r="Q18" s="166" t="s">
        <v>0</v>
      </c>
    </row>
    <row r="19" spans="1:17" s="4" customFormat="1" ht="12.75">
      <c r="A19" s="47" t="s">
        <v>36</v>
      </c>
      <c r="B19" s="7" t="s">
        <v>9</v>
      </c>
      <c r="C19" s="7" t="s">
        <v>9</v>
      </c>
      <c r="D19" s="7" t="s">
        <v>9</v>
      </c>
      <c r="E19" s="7" t="s">
        <v>9</v>
      </c>
      <c r="F19" s="7" t="s">
        <v>9</v>
      </c>
      <c r="G19" s="7" t="s">
        <v>9</v>
      </c>
      <c r="H19" s="7" t="s">
        <v>9</v>
      </c>
      <c r="I19" s="7" t="s">
        <v>9</v>
      </c>
      <c r="J19" s="7" t="s">
        <v>9</v>
      </c>
      <c r="K19" s="7" t="s">
        <v>9</v>
      </c>
      <c r="L19" s="7" t="s">
        <v>9</v>
      </c>
      <c r="M19" s="7" t="s">
        <v>9</v>
      </c>
      <c r="N19" s="7" t="s">
        <v>9</v>
      </c>
      <c r="O19" s="7" t="s">
        <v>9</v>
      </c>
      <c r="P19" s="7" t="s">
        <v>9</v>
      </c>
      <c r="Q19" s="7" t="s">
        <v>9</v>
      </c>
    </row>
    <row r="20" spans="1:17" s="4" customFormat="1" ht="12.75">
      <c r="A20" s="48"/>
      <c r="B20" s="9" t="s">
        <v>37</v>
      </c>
      <c r="C20" s="9" t="s">
        <v>37</v>
      </c>
      <c r="D20" s="9" t="s">
        <v>37</v>
      </c>
      <c r="E20" s="9" t="s">
        <v>37</v>
      </c>
      <c r="F20" s="9" t="s">
        <v>37</v>
      </c>
      <c r="G20" s="9" t="s">
        <v>37</v>
      </c>
      <c r="H20" s="9" t="s">
        <v>37</v>
      </c>
      <c r="I20" s="9" t="s">
        <v>37</v>
      </c>
      <c r="J20" s="9" t="s">
        <v>37</v>
      </c>
      <c r="K20" s="9" t="s">
        <v>37</v>
      </c>
      <c r="L20" s="9" t="s">
        <v>37</v>
      </c>
      <c r="M20" s="9" t="s">
        <v>37</v>
      </c>
      <c r="N20" s="9" t="s">
        <v>37</v>
      </c>
      <c r="O20" s="9" t="s">
        <v>97</v>
      </c>
      <c r="P20" s="9" t="s">
        <v>97</v>
      </c>
      <c r="Q20" s="9" t="s">
        <v>97</v>
      </c>
    </row>
    <row r="21" spans="1:17" s="4" customFormat="1" ht="12.75">
      <c r="A21" s="48"/>
      <c r="B21" s="9" t="s">
        <v>38</v>
      </c>
      <c r="C21" s="9" t="s">
        <v>38</v>
      </c>
      <c r="D21" s="9" t="s">
        <v>38</v>
      </c>
      <c r="E21" s="9" t="s">
        <v>38</v>
      </c>
      <c r="F21" s="9" t="s">
        <v>38</v>
      </c>
      <c r="G21" s="9" t="s">
        <v>38</v>
      </c>
      <c r="H21" s="9" t="s">
        <v>38</v>
      </c>
      <c r="I21" s="9" t="s">
        <v>38</v>
      </c>
      <c r="J21" s="9" t="s">
        <v>38</v>
      </c>
      <c r="K21" s="9" t="s">
        <v>38</v>
      </c>
      <c r="L21" s="9" t="s">
        <v>38</v>
      </c>
      <c r="M21" s="9" t="s">
        <v>38</v>
      </c>
      <c r="N21" s="9" t="s">
        <v>38</v>
      </c>
      <c r="O21" s="9" t="s">
        <v>38</v>
      </c>
      <c r="P21" s="9" t="s">
        <v>38</v>
      </c>
      <c r="Q21" s="9" t="s">
        <v>38</v>
      </c>
    </row>
    <row r="22" spans="1:17" s="4" customFormat="1" ht="12.75">
      <c r="A22" s="48"/>
      <c r="B22" s="10" t="s">
        <v>39</v>
      </c>
      <c r="C22" s="10" t="s">
        <v>39</v>
      </c>
      <c r="D22" s="10" t="s">
        <v>39</v>
      </c>
      <c r="E22" s="10" t="s">
        <v>39</v>
      </c>
      <c r="F22" s="10" t="s">
        <v>39</v>
      </c>
      <c r="G22" s="10" t="s">
        <v>39</v>
      </c>
      <c r="H22" s="10" t="s">
        <v>39</v>
      </c>
      <c r="I22" s="10" t="s">
        <v>39</v>
      </c>
      <c r="J22" s="10" t="s">
        <v>39</v>
      </c>
      <c r="K22" s="10" t="s">
        <v>39</v>
      </c>
      <c r="L22" s="10" t="s">
        <v>39</v>
      </c>
      <c r="M22" s="10" t="s">
        <v>39</v>
      </c>
      <c r="N22" s="10" t="s">
        <v>39</v>
      </c>
      <c r="O22" s="10" t="s">
        <v>39</v>
      </c>
      <c r="P22" s="10" t="s">
        <v>39</v>
      </c>
      <c r="Q22" s="10" t="s">
        <v>39</v>
      </c>
    </row>
    <row r="23" spans="1:17" s="4" customFormat="1" ht="12.75">
      <c r="A23" s="48"/>
      <c r="B23" s="7">
        <v>1</v>
      </c>
      <c r="C23" s="7">
        <v>1</v>
      </c>
      <c r="D23" s="7">
        <v>1</v>
      </c>
      <c r="E23" s="7">
        <v>1</v>
      </c>
      <c r="F23" s="7">
        <v>1</v>
      </c>
      <c r="G23" s="7">
        <v>1</v>
      </c>
      <c r="H23" s="7">
        <v>1</v>
      </c>
      <c r="I23" s="7">
        <v>1</v>
      </c>
      <c r="J23" s="7">
        <v>1</v>
      </c>
      <c r="K23" s="7">
        <v>1</v>
      </c>
      <c r="L23" s="7">
        <v>1</v>
      </c>
      <c r="M23" s="7">
        <v>1</v>
      </c>
      <c r="N23" s="7">
        <v>1</v>
      </c>
      <c r="O23" s="7">
        <v>1</v>
      </c>
      <c r="P23" s="7">
        <v>1</v>
      </c>
      <c r="Q23" s="7">
        <v>1</v>
      </c>
    </row>
    <row r="24" spans="1:17" s="4" customFormat="1" ht="12.75">
      <c r="A24" s="48"/>
      <c r="B24" s="9">
        <v>2</v>
      </c>
      <c r="C24" s="9">
        <v>2</v>
      </c>
      <c r="D24" s="9">
        <v>2</v>
      </c>
      <c r="E24" s="9">
        <v>2</v>
      </c>
      <c r="F24" s="9">
        <v>2</v>
      </c>
      <c r="G24" s="9">
        <v>2</v>
      </c>
      <c r="H24" s="9">
        <v>2</v>
      </c>
      <c r="I24" s="9">
        <v>2</v>
      </c>
      <c r="J24" s="9">
        <v>2</v>
      </c>
      <c r="K24" s="9">
        <v>2</v>
      </c>
      <c r="L24" s="9">
        <v>2</v>
      </c>
      <c r="M24" s="9">
        <v>2</v>
      </c>
      <c r="N24" s="9">
        <v>2</v>
      </c>
      <c r="O24" s="9">
        <v>2</v>
      </c>
      <c r="P24" s="9">
        <v>2</v>
      </c>
      <c r="Q24" s="9">
        <v>2</v>
      </c>
    </row>
    <row r="25" spans="1:17" s="4" customFormat="1" ht="12.75">
      <c r="A25" s="48"/>
      <c r="B25" s="9">
        <v>3</v>
      </c>
      <c r="C25" s="9">
        <v>3</v>
      </c>
      <c r="D25" s="9">
        <v>3</v>
      </c>
      <c r="E25" s="9">
        <v>3</v>
      </c>
      <c r="F25" s="9">
        <v>3</v>
      </c>
      <c r="G25" s="9">
        <v>3</v>
      </c>
      <c r="H25" s="9">
        <v>3</v>
      </c>
      <c r="I25" s="9">
        <v>3</v>
      </c>
      <c r="J25" s="9">
        <v>3</v>
      </c>
      <c r="K25" s="9">
        <v>3</v>
      </c>
      <c r="L25" s="9">
        <v>3</v>
      </c>
      <c r="M25" s="9">
        <v>3</v>
      </c>
      <c r="N25" s="9">
        <v>3</v>
      </c>
      <c r="O25" s="9">
        <v>3</v>
      </c>
      <c r="P25" s="9">
        <v>3</v>
      </c>
      <c r="Q25" s="9">
        <v>3</v>
      </c>
    </row>
    <row r="26" spans="1:17" s="4" customFormat="1" ht="12.75">
      <c r="A26" s="49"/>
      <c r="B26" s="10">
        <v>4</v>
      </c>
      <c r="C26" s="10">
        <v>4</v>
      </c>
      <c r="D26" s="10">
        <v>4</v>
      </c>
      <c r="E26" s="10">
        <v>4</v>
      </c>
      <c r="F26" s="10">
        <v>4</v>
      </c>
      <c r="G26" s="10">
        <v>4</v>
      </c>
      <c r="H26" s="10">
        <v>4</v>
      </c>
      <c r="I26" s="10">
        <v>4</v>
      </c>
      <c r="J26" s="10">
        <v>4</v>
      </c>
      <c r="K26" s="10">
        <v>4</v>
      </c>
      <c r="L26" s="10">
        <v>4</v>
      </c>
      <c r="M26" s="10">
        <v>4</v>
      </c>
      <c r="N26" s="10">
        <v>4</v>
      </c>
      <c r="O26" s="10">
        <v>4</v>
      </c>
      <c r="P26" s="10">
        <v>4</v>
      </c>
      <c r="Q26" s="10">
        <v>4</v>
      </c>
    </row>
    <row r="27" spans="1:17" s="4" customFormat="1" ht="12.75">
      <c r="A27" s="47" t="s">
        <v>72</v>
      </c>
      <c r="B27" s="7" t="s">
        <v>10</v>
      </c>
      <c r="C27" s="7" t="s">
        <v>10</v>
      </c>
      <c r="D27" s="7" t="s">
        <v>10</v>
      </c>
      <c r="E27" s="7" t="s">
        <v>10</v>
      </c>
      <c r="F27" s="7" t="s">
        <v>10</v>
      </c>
      <c r="G27" s="7" t="s">
        <v>10</v>
      </c>
      <c r="H27" s="7" t="s">
        <v>10</v>
      </c>
      <c r="I27" s="7" t="s">
        <v>10</v>
      </c>
      <c r="J27" s="7" t="s">
        <v>10</v>
      </c>
      <c r="K27" s="7" t="s">
        <v>10</v>
      </c>
      <c r="L27" s="7" t="s">
        <v>10</v>
      </c>
      <c r="M27" s="7" t="s">
        <v>10</v>
      </c>
      <c r="N27" s="7" t="s">
        <v>10</v>
      </c>
      <c r="O27" s="7" t="s">
        <v>10</v>
      </c>
      <c r="P27" s="7" t="s">
        <v>10</v>
      </c>
      <c r="Q27" s="7" t="s">
        <v>151</v>
      </c>
    </row>
    <row r="28" spans="1:17" s="4" customFormat="1" ht="12.75">
      <c r="A28" s="48"/>
      <c r="B28" s="9" t="s">
        <v>11</v>
      </c>
      <c r="C28" s="9" t="s">
        <v>63</v>
      </c>
      <c r="D28" s="9" t="s">
        <v>11</v>
      </c>
      <c r="E28" s="9" t="s">
        <v>63</v>
      </c>
      <c r="F28" s="9" t="s">
        <v>63</v>
      </c>
      <c r="G28" s="9" t="s">
        <v>63</v>
      </c>
      <c r="H28" s="9" t="s">
        <v>63</v>
      </c>
      <c r="I28" s="9" t="s">
        <v>63</v>
      </c>
      <c r="J28" s="9" t="s">
        <v>63</v>
      </c>
      <c r="K28" s="9" t="s">
        <v>63</v>
      </c>
      <c r="L28" s="9" t="s">
        <v>63</v>
      </c>
      <c r="M28" s="9" t="s">
        <v>63</v>
      </c>
      <c r="N28" s="9" t="s">
        <v>63</v>
      </c>
      <c r="O28" s="9" t="s">
        <v>63</v>
      </c>
      <c r="P28" s="9" t="s">
        <v>63</v>
      </c>
      <c r="Q28" s="9" t="s">
        <v>152</v>
      </c>
    </row>
    <row r="29" spans="1:17" s="4" customFormat="1" ht="12.75">
      <c r="A29" s="48"/>
      <c r="B29" s="9" t="s">
        <v>12</v>
      </c>
      <c r="C29" s="9" t="s">
        <v>12</v>
      </c>
      <c r="D29" s="9" t="s">
        <v>12</v>
      </c>
      <c r="E29" s="9" t="s">
        <v>12</v>
      </c>
      <c r="F29" s="9" t="s">
        <v>12</v>
      </c>
      <c r="G29" s="9" t="s">
        <v>12</v>
      </c>
      <c r="H29" s="9" t="s">
        <v>12</v>
      </c>
      <c r="I29" s="9" t="s">
        <v>12</v>
      </c>
      <c r="J29" s="9" t="s">
        <v>12</v>
      </c>
      <c r="K29" s="9" t="s">
        <v>12</v>
      </c>
      <c r="L29" s="9" t="s">
        <v>12</v>
      </c>
      <c r="M29" s="9" t="s">
        <v>12</v>
      </c>
      <c r="N29" s="9" t="s">
        <v>12</v>
      </c>
      <c r="O29" s="9" t="s">
        <v>12</v>
      </c>
      <c r="P29" s="9" t="s">
        <v>12</v>
      </c>
      <c r="Q29" s="9" t="s">
        <v>153</v>
      </c>
    </row>
    <row r="30" spans="1:17" s="4" customFormat="1" ht="12.75">
      <c r="A30" s="48"/>
      <c r="B30" s="9" t="s">
        <v>14</v>
      </c>
      <c r="C30" s="9" t="s">
        <v>14</v>
      </c>
      <c r="D30" s="9" t="s">
        <v>14</v>
      </c>
      <c r="E30" s="9" t="s">
        <v>14</v>
      </c>
      <c r="F30" s="9" t="s">
        <v>14</v>
      </c>
      <c r="G30" s="9" t="s">
        <v>14</v>
      </c>
      <c r="H30" s="9" t="s">
        <v>14</v>
      </c>
      <c r="I30" s="9" t="s">
        <v>14</v>
      </c>
      <c r="J30" s="9" t="s">
        <v>14</v>
      </c>
      <c r="K30" s="9" t="s">
        <v>14</v>
      </c>
      <c r="L30" s="9" t="s">
        <v>14</v>
      </c>
      <c r="M30" s="9" t="s">
        <v>14</v>
      </c>
      <c r="N30" s="9" t="s">
        <v>14</v>
      </c>
      <c r="O30" s="9" t="s">
        <v>14</v>
      </c>
      <c r="P30" s="9" t="s">
        <v>14</v>
      </c>
      <c r="Q30" s="9" t="s">
        <v>154</v>
      </c>
    </row>
    <row r="31" spans="1:17" s="4" customFormat="1" ht="12.75">
      <c r="A31" s="48"/>
      <c r="B31" s="9" t="s">
        <v>41</v>
      </c>
      <c r="C31" s="9" t="s">
        <v>41</v>
      </c>
      <c r="D31" s="9" t="s">
        <v>41</v>
      </c>
      <c r="E31" s="9" t="s">
        <v>41</v>
      </c>
      <c r="F31" s="9" t="s">
        <v>41</v>
      </c>
      <c r="G31" s="9" t="s">
        <v>41</v>
      </c>
      <c r="H31" s="9" t="s">
        <v>41</v>
      </c>
      <c r="I31" s="9" t="s">
        <v>41</v>
      </c>
      <c r="J31" s="9" t="s">
        <v>41</v>
      </c>
      <c r="K31" s="9" t="s">
        <v>41</v>
      </c>
      <c r="L31" s="9" t="s">
        <v>41</v>
      </c>
      <c r="M31" s="9" t="s">
        <v>41</v>
      </c>
      <c r="N31" s="9" t="s">
        <v>41</v>
      </c>
      <c r="O31" s="9" t="s">
        <v>41</v>
      </c>
      <c r="P31" s="9" t="s">
        <v>41</v>
      </c>
      <c r="Q31" s="9" t="s">
        <v>155</v>
      </c>
    </row>
    <row r="32" spans="1:17" s="4" customFormat="1" ht="12.75">
      <c r="A32" s="48"/>
      <c r="B32" s="9" t="s">
        <v>15</v>
      </c>
      <c r="C32" s="9" t="s">
        <v>15</v>
      </c>
      <c r="D32" s="9" t="s">
        <v>15</v>
      </c>
      <c r="E32" s="9" t="s">
        <v>15</v>
      </c>
      <c r="F32" s="9" t="s">
        <v>15</v>
      </c>
      <c r="G32" s="9" t="s">
        <v>15</v>
      </c>
      <c r="H32" s="9" t="s">
        <v>15</v>
      </c>
      <c r="I32" s="9" t="s">
        <v>15</v>
      </c>
      <c r="J32" s="9" t="s">
        <v>15</v>
      </c>
      <c r="K32" s="9" t="s">
        <v>15</v>
      </c>
      <c r="L32" s="9" t="s">
        <v>15</v>
      </c>
      <c r="M32" s="9" t="s">
        <v>15</v>
      </c>
      <c r="N32" s="9" t="s">
        <v>15</v>
      </c>
      <c r="O32" s="9" t="s">
        <v>15</v>
      </c>
      <c r="P32" s="9" t="s">
        <v>15</v>
      </c>
      <c r="Q32" s="9" t="s">
        <v>156</v>
      </c>
    </row>
    <row r="33" spans="1:17" s="4" customFormat="1" ht="12.75">
      <c r="A33" s="48"/>
      <c r="B33" s="9" t="s">
        <v>13</v>
      </c>
      <c r="C33" s="9" t="s">
        <v>13</v>
      </c>
      <c r="D33" s="9" t="s">
        <v>13</v>
      </c>
      <c r="E33" s="9" t="s">
        <v>13</v>
      </c>
      <c r="F33" s="9" t="s">
        <v>13</v>
      </c>
      <c r="G33" s="9" t="s">
        <v>13</v>
      </c>
      <c r="H33" s="9" t="s">
        <v>13</v>
      </c>
      <c r="I33" s="9" t="s">
        <v>13</v>
      </c>
      <c r="J33" s="9" t="s">
        <v>13</v>
      </c>
      <c r="K33" s="9" t="s">
        <v>13</v>
      </c>
      <c r="L33" s="9" t="s">
        <v>13</v>
      </c>
      <c r="M33" s="9" t="s">
        <v>13</v>
      </c>
      <c r="N33" s="9" t="s">
        <v>13</v>
      </c>
      <c r="O33" s="9" t="s">
        <v>13</v>
      </c>
      <c r="P33" s="9" t="s">
        <v>13</v>
      </c>
      <c r="Q33" s="9" t="s">
        <v>157</v>
      </c>
    </row>
    <row r="34" spans="1:17" s="4" customFormat="1" ht="12.75">
      <c r="A34" s="48"/>
      <c r="B34" s="163" t="s">
        <v>0</v>
      </c>
      <c r="C34" s="9" t="s">
        <v>82</v>
      </c>
      <c r="D34" s="9" t="s">
        <v>56</v>
      </c>
      <c r="E34" s="167" t="s">
        <v>0</v>
      </c>
      <c r="F34" s="51" t="s">
        <v>56</v>
      </c>
      <c r="G34" s="51" t="s">
        <v>78</v>
      </c>
      <c r="H34" s="51" t="s">
        <v>78</v>
      </c>
      <c r="I34" s="51" t="s">
        <v>56</v>
      </c>
      <c r="J34" s="51" t="s">
        <v>56</v>
      </c>
      <c r="K34" s="51" t="s">
        <v>56</v>
      </c>
      <c r="L34" s="51" t="s">
        <v>56</v>
      </c>
      <c r="M34" s="51" t="s">
        <v>56</v>
      </c>
      <c r="N34" s="51" t="s">
        <v>56</v>
      </c>
      <c r="O34" s="51" t="s">
        <v>56</v>
      </c>
      <c r="P34" s="51" t="s">
        <v>56</v>
      </c>
      <c r="Q34" s="51" t="s">
        <v>188</v>
      </c>
    </row>
    <row r="35" spans="1:17" s="4" customFormat="1" ht="12.75">
      <c r="A35" s="48"/>
      <c r="B35" s="163" t="s">
        <v>0</v>
      </c>
      <c r="C35" s="9" t="s">
        <v>57</v>
      </c>
      <c r="D35" s="9" t="s">
        <v>57</v>
      </c>
      <c r="E35" s="167" t="s">
        <v>0</v>
      </c>
      <c r="F35" s="51" t="s">
        <v>57</v>
      </c>
      <c r="G35" s="51" t="s">
        <v>57</v>
      </c>
      <c r="H35" s="51" t="s">
        <v>57</v>
      </c>
      <c r="I35" s="51" t="s">
        <v>57</v>
      </c>
      <c r="J35" s="51" t="s">
        <v>57</v>
      </c>
      <c r="K35" s="51" t="s">
        <v>57</v>
      </c>
      <c r="L35" s="51" t="s">
        <v>57</v>
      </c>
      <c r="M35" s="51" t="s">
        <v>57</v>
      </c>
      <c r="N35" s="51" t="s">
        <v>57</v>
      </c>
      <c r="O35" s="51" t="s">
        <v>57</v>
      </c>
      <c r="P35" s="51" t="s">
        <v>57</v>
      </c>
      <c r="Q35" s="51" t="s">
        <v>159</v>
      </c>
    </row>
    <row r="36" spans="1:17" s="4" customFormat="1" ht="12.75">
      <c r="A36" s="48"/>
      <c r="B36" s="163" t="s">
        <v>0</v>
      </c>
      <c r="C36" s="9" t="s">
        <v>58</v>
      </c>
      <c r="D36" s="9" t="s">
        <v>58</v>
      </c>
      <c r="E36" s="167" t="s">
        <v>0</v>
      </c>
      <c r="F36" s="51" t="s">
        <v>58</v>
      </c>
      <c r="G36" s="51" t="s">
        <v>58</v>
      </c>
      <c r="H36" s="51" t="s">
        <v>58</v>
      </c>
      <c r="I36" s="51" t="s">
        <v>58</v>
      </c>
      <c r="J36" s="51" t="s">
        <v>58</v>
      </c>
      <c r="K36" s="51" t="s">
        <v>58</v>
      </c>
      <c r="L36" s="51" t="s">
        <v>58</v>
      </c>
      <c r="M36" s="51" t="s">
        <v>58</v>
      </c>
      <c r="N36" s="51" t="s">
        <v>58</v>
      </c>
      <c r="O36" s="51" t="s">
        <v>58</v>
      </c>
      <c r="P36" s="51" t="s">
        <v>58</v>
      </c>
      <c r="Q36" s="51" t="s">
        <v>160</v>
      </c>
    </row>
    <row r="37" spans="1:17" s="4" customFormat="1" ht="12.75">
      <c r="A37" s="48"/>
      <c r="B37" s="163" t="s">
        <v>0</v>
      </c>
      <c r="C37" s="9" t="s">
        <v>59</v>
      </c>
      <c r="D37" s="9" t="s">
        <v>59</v>
      </c>
      <c r="E37" s="167" t="s">
        <v>0</v>
      </c>
      <c r="F37" s="51" t="s">
        <v>59</v>
      </c>
      <c r="G37" s="51" t="s">
        <v>59</v>
      </c>
      <c r="H37" s="51" t="s">
        <v>59</v>
      </c>
      <c r="I37" s="51" t="s">
        <v>59</v>
      </c>
      <c r="J37" s="51" t="s">
        <v>59</v>
      </c>
      <c r="K37" s="51" t="s">
        <v>59</v>
      </c>
      <c r="L37" s="51" t="s">
        <v>59</v>
      </c>
      <c r="M37" s="51" t="s">
        <v>59</v>
      </c>
      <c r="N37" s="51" t="s">
        <v>59</v>
      </c>
      <c r="O37" s="51" t="s">
        <v>59</v>
      </c>
      <c r="P37" s="51" t="s">
        <v>59</v>
      </c>
      <c r="Q37" s="51" t="s">
        <v>161</v>
      </c>
    </row>
    <row r="38" spans="1:17" s="4" customFormat="1" ht="12.75">
      <c r="A38" s="48"/>
      <c r="B38" s="163" t="s">
        <v>0</v>
      </c>
      <c r="C38" s="9" t="s">
        <v>60</v>
      </c>
      <c r="D38" s="9" t="s">
        <v>60</v>
      </c>
      <c r="E38" s="167" t="s">
        <v>0</v>
      </c>
      <c r="F38" s="51" t="s">
        <v>60</v>
      </c>
      <c r="G38" s="51" t="s">
        <v>60</v>
      </c>
      <c r="H38" s="51" t="s">
        <v>60</v>
      </c>
      <c r="I38" s="51" t="s">
        <v>60</v>
      </c>
      <c r="J38" s="51" t="s">
        <v>60</v>
      </c>
      <c r="K38" s="51" t="s">
        <v>60</v>
      </c>
      <c r="L38" s="51" t="s">
        <v>60</v>
      </c>
      <c r="M38" s="51" t="s">
        <v>60</v>
      </c>
      <c r="N38" s="51" t="s">
        <v>60</v>
      </c>
      <c r="O38" s="51" t="s">
        <v>60</v>
      </c>
      <c r="P38" s="51" t="s">
        <v>60</v>
      </c>
      <c r="Q38" s="51" t="s">
        <v>189</v>
      </c>
    </row>
    <row r="39" spans="1:17" s="4" customFormat="1" ht="12.75">
      <c r="A39" s="48"/>
      <c r="B39" s="163" t="s">
        <v>0</v>
      </c>
      <c r="C39" s="51" t="s">
        <v>83</v>
      </c>
      <c r="D39" s="163" t="s">
        <v>0</v>
      </c>
      <c r="E39" s="167" t="s">
        <v>0</v>
      </c>
      <c r="F39" s="51" t="s">
        <v>64</v>
      </c>
      <c r="G39" s="51" t="s">
        <v>64</v>
      </c>
      <c r="H39" s="51" t="s">
        <v>64</v>
      </c>
      <c r="I39" s="51" t="s">
        <v>64</v>
      </c>
      <c r="J39" s="51" t="s">
        <v>64</v>
      </c>
      <c r="K39" s="51" t="s">
        <v>64</v>
      </c>
      <c r="L39" s="51" t="s">
        <v>64</v>
      </c>
      <c r="M39" s="51" t="s">
        <v>64</v>
      </c>
      <c r="N39" s="51" t="s">
        <v>64</v>
      </c>
      <c r="O39" s="51" t="s">
        <v>64</v>
      </c>
      <c r="P39" s="51" t="s">
        <v>64</v>
      </c>
      <c r="Q39" s="51" t="s">
        <v>163</v>
      </c>
    </row>
    <row r="40" spans="1:17" s="4" customFormat="1" ht="12.75">
      <c r="A40" s="48"/>
      <c r="B40" s="166" t="s">
        <v>0</v>
      </c>
      <c r="C40" s="166" t="s">
        <v>0</v>
      </c>
      <c r="D40" s="166" t="s">
        <v>0</v>
      </c>
      <c r="E40" s="168" t="s">
        <v>0</v>
      </c>
      <c r="F40" s="56" t="s">
        <v>70</v>
      </c>
      <c r="G40" s="56" t="s">
        <v>70</v>
      </c>
      <c r="H40" s="56" t="s">
        <v>70</v>
      </c>
      <c r="I40" s="56" t="s">
        <v>70</v>
      </c>
      <c r="J40" s="56" t="s">
        <v>70</v>
      </c>
      <c r="K40" s="56" t="s">
        <v>70</v>
      </c>
      <c r="L40" s="56" t="s">
        <v>70</v>
      </c>
      <c r="M40" s="56" t="s">
        <v>70</v>
      </c>
      <c r="N40" s="56" t="s">
        <v>70</v>
      </c>
      <c r="O40" s="56" t="s">
        <v>70</v>
      </c>
      <c r="P40" s="56" t="s">
        <v>70</v>
      </c>
      <c r="Q40" s="56" t="s">
        <v>190</v>
      </c>
    </row>
    <row r="41" spans="1:17" s="4" customFormat="1" ht="12.75">
      <c r="A41" s="47" t="s">
        <v>71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</row>
    <row r="42" spans="1:17" s="4" customFormat="1" ht="12.75">
      <c r="A42" s="48"/>
      <c r="B42" s="9">
        <v>1</v>
      </c>
      <c r="C42" s="9">
        <v>1</v>
      </c>
      <c r="D42" s="9">
        <v>1</v>
      </c>
      <c r="E42" s="9">
        <v>1</v>
      </c>
      <c r="F42" s="9">
        <v>1</v>
      </c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9">
        <v>1</v>
      </c>
      <c r="Q42" s="9">
        <v>1</v>
      </c>
    </row>
    <row r="43" spans="1:17" s="4" customFormat="1" ht="12.75">
      <c r="A43" s="48"/>
      <c r="B43" s="9">
        <v>2</v>
      </c>
      <c r="C43" s="9">
        <v>2</v>
      </c>
      <c r="D43" s="9">
        <v>2</v>
      </c>
      <c r="E43" s="9">
        <v>2</v>
      </c>
      <c r="F43" s="9">
        <v>2</v>
      </c>
      <c r="G43" s="9">
        <v>2</v>
      </c>
      <c r="H43" s="9">
        <v>2</v>
      </c>
      <c r="I43" s="9">
        <v>2</v>
      </c>
      <c r="J43" s="9">
        <v>2</v>
      </c>
      <c r="K43" s="9">
        <v>2</v>
      </c>
      <c r="L43" s="9">
        <v>2</v>
      </c>
      <c r="M43" s="9">
        <v>2</v>
      </c>
      <c r="N43" s="9">
        <v>2</v>
      </c>
      <c r="O43" s="9">
        <v>2</v>
      </c>
      <c r="P43" s="9">
        <v>2</v>
      </c>
      <c r="Q43" s="9">
        <v>2</v>
      </c>
    </row>
    <row r="44" spans="1:17" s="4" customFormat="1" ht="12.75">
      <c r="A44" s="48"/>
      <c r="B44" s="9">
        <v>3</v>
      </c>
      <c r="C44" s="9">
        <v>3</v>
      </c>
      <c r="D44" s="9">
        <v>3</v>
      </c>
      <c r="E44" s="9">
        <v>3</v>
      </c>
      <c r="F44" s="9">
        <v>3</v>
      </c>
      <c r="G44" s="9">
        <v>3</v>
      </c>
      <c r="H44" s="9">
        <v>3</v>
      </c>
      <c r="I44" s="9">
        <v>3</v>
      </c>
      <c r="J44" s="9">
        <v>3</v>
      </c>
      <c r="K44" s="9">
        <v>3</v>
      </c>
      <c r="L44" s="9">
        <v>3</v>
      </c>
      <c r="M44" s="9">
        <v>3</v>
      </c>
      <c r="N44" s="9">
        <v>3</v>
      </c>
      <c r="O44" s="9">
        <v>3</v>
      </c>
      <c r="P44" s="9">
        <v>3</v>
      </c>
      <c r="Q44" s="9">
        <v>3</v>
      </c>
    </row>
    <row r="45" spans="1:17" s="4" customFormat="1" ht="12.75">
      <c r="A45" s="48"/>
      <c r="B45" s="9">
        <v>4</v>
      </c>
      <c r="C45" s="9">
        <v>4</v>
      </c>
      <c r="D45" s="9">
        <v>4</v>
      </c>
      <c r="E45" s="9">
        <v>4</v>
      </c>
      <c r="F45" s="9">
        <v>4</v>
      </c>
      <c r="G45" s="9">
        <v>4</v>
      </c>
      <c r="H45" s="9">
        <v>4</v>
      </c>
      <c r="I45" s="9">
        <v>4</v>
      </c>
      <c r="J45" s="9">
        <v>4</v>
      </c>
      <c r="K45" s="9">
        <v>4</v>
      </c>
      <c r="L45" s="9">
        <v>4</v>
      </c>
      <c r="M45" s="9">
        <v>4</v>
      </c>
      <c r="N45" s="9">
        <v>4</v>
      </c>
      <c r="O45" s="9">
        <v>4</v>
      </c>
      <c r="P45" s="9">
        <v>4</v>
      </c>
      <c r="Q45" s="9">
        <v>4</v>
      </c>
    </row>
    <row r="46" spans="1:17" s="4" customFormat="1" ht="12.75">
      <c r="A46" s="48"/>
      <c r="B46" s="9">
        <v>5</v>
      </c>
      <c r="C46" s="9">
        <v>5</v>
      </c>
      <c r="D46" s="9">
        <v>5</v>
      </c>
      <c r="E46" s="9">
        <v>5</v>
      </c>
      <c r="F46" s="9">
        <v>5</v>
      </c>
      <c r="G46" s="9">
        <v>5</v>
      </c>
      <c r="H46" s="9">
        <v>5</v>
      </c>
      <c r="I46" s="9">
        <v>5</v>
      </c>
      <c r="J46" s="9">
        <v>5</v>
      </c>
      <c r="K46" s="9">
        <v>5</v>
      </c>
      <c r="L46" s="9">
        <v>5</v>
      </c>
      <c r="M46" s="9">
        <v>5</v>
      </c>
      <c r="N46" s="9">
        <v>5</v>
      </c>
      <c r="O46" s="9">
        <v>5</v>
      </c>
      <c r="P46" s="9">
        <v>5</v>
      </c>
      <c r="Q46" s="9">
        <v>5</v>
      </c>
    </row>
    <row r="47" spans="1:17" s="4" customFormat="1" ht="12.75">
      <c r="A47" s="48"/>
      <c r="B47" s="9">
        <v>6</v>
      </c>
      <c r="C47" s="9">
        <v>6</v>
      </c>
      <c r="D47" s="9">
        <v>6</v>
      </c>
      <c r="E47" s="9">
        <v>6</v>
      </c>
      <c r="F47" s="9">
        <v>6</v>
      </c>
      <c r="G47" s="9">
        <v>6</v>
      </c>
      <c r="H47" s="9">
        <v>6</v>
      </c>
      <c r="I47" s="9">
        <v>6</v>
      </c>
      <c r="J47" s="9">
        <v>6</v>
      </c>
      <c r="K47" s="9">
        <v>6</v>
      </c>
      <c r="L47" s="9">
        <v>6</v>
      </c>
      <c r="M47" s="9">
        <v>6</v>
      </c>
      <c r="N47" s="9">
        <v>6</v>
      </c>
      <c r="O47" s="9">
        <v>6</v>
      </c>
      <c r="P47" s="9">
        <v>6</v>
      </c>
      <c r="Q47" s="9">
        <v>6</v>
      </c>
    </row>
    <row r="48" spans="1:17" s="4" customFormat="1" ht="12.75">
      <c r="A48" s="48"/>
      <c r="B48" s="9" t="s">
        <v>4</v>
      </c>
      <c r="C48" s="9" t="s">
        <v>4</v>
      </c>
      <c r="D48" s="9">
        <v>7</v>
      </c>
      <c r="E48" s="17" t="s">
        <v>4</v>
      </c>
      <c r="F48" s="9">
        <v>7</v>
      </c>
      <c r="G48" s="17" t="s">
        <v>4</v>
      </c>
      <c r="H48" s="17" t="s">
        <v>4</v>
      </c>
      <c r="I48" s="17">
        <v>7</v>
      </c>
      <c r="J48" s="17">
        <v>7</v>
      </c>
      <c r="K48" s="17">
        <v>7</v>
      </c>
      <c r="L48" s="17">
        <v>7</v>
      </c>
      <c r="M48" s="17">
        <v>7</v>
      </c>
      <c r="N48" s="17">
        <v>7</v>
      </c>
      <c r="O48" s="17">
        <v>7</v>
      </c>
      <c r="P48" s="17">
        <v>7</v>
      </c>
      <c r="Q48" s="17">
        <v>7</v>
      </c>
    </row>
    <row r="49" spans="1:17" s="4" customFormat="1" ht="12.75">
      <c r="A49" s="48"/>
      <c r="B49" s="9" t="s">
        <v>4</v>
      </c>
      <c r="C49" s="9">
        <v>8</v>
      </c>
      <c r="D49" s="9">
        <v>8</v>
      </c>
      <c r="E49" s="17" t="s">
        <v>4</v>
      </c>
      <c r="F49" s="9">
        <v>8</v>
      </c>
      <c r="G49" s="9">
        <v>8</v>
      </c>
      <c r="H49" s="9">
        <v>8</v>
      </c>
      <c r="I49" s="9">
        <v>8</v>
      </c>
      <c r="J49" s="9">
        <v>8</v>
      </c>
      <c r="K49" s="9">
        <v>8</v>
      </c>
      <c r="L49" s="9">
        <v>8</v>
      </c>
      <c r="M49" s="9">
        <v>8</v>
      </c>
      <c r="N49" s="9">
        <v>8</v>
      </c>
      <c r="O49" s="9">
        <v>8</v>
      </c>
      <c r="P49" s="9">
        <v>8</v>
      </c>
      <c r="Q49" s="9">
        <v>8</v>
      </c>
    </row>
    <row r="50" spans="1:17" s="4" customFormat="1" ht="12.75">
      <c r="A50" s="48"/>
      <c r="B50" s="9" t="s">
        <v>4</v>
      </c>
      <c r="C50" s="9" t="s">
        <v>1</v>
      </c>
      <c r="D50" s="9" t="s">
        <v>1</v>
      </c>
      <c r="E50" s="17" t="s">
        <v>4</v>
      </c>
      <c r="F50" s="9" t="s">
        <v>1</v>
      </c>
      <c r="G50" s="9" t="s">
        <v>1</v>
      </c>
      <c r="H50" s="9" t="s">
        <v>1</v>
      </c>
      <c r="I50" s="9" t="s">
        <v>1</v>
      </c>
      <c r="J50" s="9" t="s">
        <v>1</v>
      </c>
      <c r="K50" s="9" t="s">
        <v>1</v>
      </c>
      <c r="L50" s="9" t="s">
        <v>1</v>
      </c>
      <c r="M50" s="9" t="s">
        <v>1</v>
      </c>
      <c r="N50" s="9" t="s">
        <v>1</v>
      </c>
      <c r="O50" s="9" t="s">
        <v>1</v>
      </c>
      <c r="P50" s="9" t="s">
        <v>1</v>
      </c>
      <c r="Q50" s="9" t="s">
        <v>1</v>
      </c>
    </row>
    <row r="51" spans="1:17" s="4" customFormat="1" ht="12.75">
      <c r="A51" s="48"/>
      <c r="B51" s="9" t="s">
        <v>4</v>
      </c>
      <c r="C51" s="9" t="s">
        <v>2</v>
      </c>
      <c r="D51" s="9" t="s">
        <v>2</v>
      </c>
      <c r="E51" s="17" t="s">
        <v>4</v>
      </c>
      <c r="F51" s="9" t="s">
        <v>2</v>
      </c>
      <c r="G51" s="9" t="s">
        <v>2</v>
      </c>
      <c r="H51" s="9" t="s">
        <v>2</v>
      </c>
      <c r="I51" s="9" t="s">
        <v>2</v>
      </c>
      <c r="J51" s="9" t="s">
        <v>2</v>
      </c>
      <c r="K51" s="9" t="s">
        <v>2</v>
      </c>
      <c r="L51" s="9" t="s">
        <v>2</v>
      </c>
      <c r="M51" s="9" t="s">
        <v>2</v>
      </c>
      <c r="N51" s="9" t="s">
        <v>2</v>
      </c>
      <c r="O51" s="9" t="s">
        <v>2</v>
      </c>
      <c r="P51" s="9" t="s">
        <v>2</v>
      </c>
      <c r="Q51" s="9" t="s">
        <v>2</v>
      </c>
    </row>
    <row r="52" spans="1:17" s="4" customFormat="1" ht="12.75">
      <c r="A52" s="48"/>
      <c r="B52" s="9" t="s">
        <v>4</v>
      </c>
      <c r="C52" s="9" t="s">
        <v>3</v>
      </c>
      <c r="D52" s="9" t="s">
        <v>3</v>
      </c>
      <c r="E52" s="17" t="s">
        <v>4</v>
      </c>
      <c r="F52" s="9" t="s">
        <v>3</v>
      </c>
      <c r="G52" s="9" t="s">
        <v>3</v>
      </c>
      <c r="H52" s="9" t="s">
        <v>3</v>
      </c>
      <c r="I52" s="9" t="s">
        <v>3</v>
      </c>
      <c r="J52" s="9" t="s">
        <v>3</v>
      </c>
      <c r="K52" s="9" t="s">
        <v>3</v>
      </c>
      <c r="L52" s="9" t="s">
        <v>3</v>
      </c>
      <c r="M52" s="9" t="s">
        <v>3</v>
      </c>
      <c r="N52" s="9" t="s">
        <v>3</v>
      </c>
      <c r="O52" s="9" t="s">
        <v>3</v>
      </c>
      <c r="P52" s="9" t="s">
        <v>3</v>
      </c>
      <c r="Q52" s="9" t="s">
        <v>3</v>
      </c>
    </row>
    <row r="53" spans="1:17" s="4" customFormat="1" ht="12.75">
      <c r="A53" s="48"/>
      <c r="B53" s="9" t="s">
        <v>4</v>
      </c>
      <c r="C53" s="9" t="s">
        <v>4</v>
      </c>
      <c r="D53" s="9" t="s">
        <v>4</v>
      </c>
      <c r="E53" s="17" t="s">
        <v>4</v>
      </c>
      <c r="F53" s="9" t="s">
        <v>51</v>
      </c>
      <c r="G53" s="9" t="s">
        <v>51</v>
      </c>
      <c r="H53" s="9" t="s">
        <v>51</v>
      </c>
      <c r="I53" s="9" t="s">
        <v>51</v>
      </c>
      <c r="J53" s="9" t="s">
        <v>51</v>
      </c>
      <c r="K53" s="9" t="s">
        <v>51</v>
      </c>
      <c r="L53" s="9" t="s">
        <v>51</v>
      </c>
      <c r="M53" s="9" t="s">
        <v>51</v>
      </c>
      <c r="N53" s="9" t="s">
        <v>51</v>
      </c>
      <c r="O53" s="9" t="s">
        <v>51</v>
      </c>
      <c r="P53" s="9" t="s">
        <v>51</v>
      </c>
      <c r="Q53" s="9" t="s">
        <v>51</v>
      </c>
    </row>
    <row r="54" spans="1:17" s="4" customFormat="1" ht="12.75">
      <c r="A54" s="49"/>
      <c r="B54" s="10" t="s">
        <v>4</v>
      </c>
      <c r="C54" s="10" t="s">
        <v>4</v>
      </c>
      <c r="D54" s="10" t="s">
        <v>4</v>
      </c>
      <c r="E54" s="18" t="s">
        <v>4</v>
      </c>
      <c r="F54" s="10" t="s">
        <v>42</v>
      </c>
      <c r="G54" s="10" t="s">
        <v>42</v>
      </c>
      <c r="H54" s="10" t="s">
        <v>42</v>
      </c>
      <c r="I54" s="10" t="s">
        <v>42</v>
      </c>
      <c r="J54" s="10" t="s">
        <v>42</v>
      </c>
      <c r="K54" s="10" t="s">
        <v>42</v>
      </c>
      <c r="L54" s="10" t="s">
        <v>42</v>
      </c>
      <c r="M54" s="10" t="s">
        <v>42</v>
      </c>
      <c r="N54" s="10" t="s">
        <v>42</v>
      </c>
      <c r="O54" s="10" t="s">
        <v>42</v>
      </c>
      <c r="P54" s="10" t="s">
        <v>42</v>
      </c>
      <c r="Q54" s="10" t="s">
        <v>42</v>
      </c>
    </row>
    <row r="55" spans="1:17" s="4" customFormat="1" ht="12.75">
      <c r="A55" s="47" t="s">
        <v>43</v>
      </c>
      <c r="B55" s="7" t="s">
        <v>44</v>
      </c>
      <c r="C55" s="7" t="s">
        <v>43</v>
      </c>
      <c r="D55" s="7" t="s">
        <v>76</v>
      </c>
      <c r="E55" s="7" t="s">
        <v>76</v>
      </c>
      <c r="F55" s="7" t="s">
        <v>76</v>
      </c>
      <c r="G55" s="7" t="s">
        <v>76</v>
      </c>
      <c r="H55" s="7" t="s">
        <v>76</v>
      </c>
      <c r="I55" s="7" t="s">
        <v>76</v>
      </c>
      <c r="J55" s="7" t="s">
        <v>76</v>
      </c>
      <c r="K55" s="7" t="s">
        <v>76</v>
      </c>
      <c r="L55" s="7" t="s">
        <v>76</v>
      </c>
      <c r="M55" s="7" t="s">
        <v>76</v>
      </c>
      <c r="N55" s="7" t="s">
        <v>76</v>
      </c>
      <c r="O55" s="7" t="s">
        <v>76</v>
      </c>
      <c r="P55" s="7" t="s">
        <v>76</v>
      </c>
      <c r="Q55" s="7" t="s">
        <v>76</v>
      </c>
    </row>
    <row r="56" spans="1:17" s="4" customFormat="1" ht="12.75">
      <c r="A56" s="48"/>
      <c r="B56" s="166" t="s">
        <v>0</v>
      </c>
      <c r="C56" s="166" t="s">
        <v>0</v>
      </c>
      <c r="D56" s="10" t="s">
        <v>77</v>
      </c>
      <c r="E56" s="10" t="s">
        <v>77</v>
      </c>
      <c r="F56" s="10" t="s">
        <v>77</v>
      </c>
      <c r="G56" s="10" t="s">
        <v>77</v>
      </c>
      <c r="H56" s="10" t="s">
        <v>77</v>
      </c>
      <c r="I56" s="10" t="s">
        <v>77</v>
      </c>
      <c r="J56" s="10" t="s">
        <v>77</v>
      </c>
      <c r="K56" s="10" t="s">
        <v>77</v>
      </c>
      <c r="L56" s="10" t="s">
        <v>77</v>
      </c>
      <c r="M56" s="10" t="s">
        <v>77</v>
      </c>
      <c r="N56" s="10" t="s">
        <v>77</v>
      </c>
      <c r="O56" s="10" t="s">
        <v>77</v>
      </c>
      <c r="P56" s="10" t="s">
        <v>77</v>
      </c>
      <c r="Q56" s="10" t="s">
        <v>77</v>
      </c>
    </row>
    <row r="57" spans="1:17" s="4" customFormat="1" ht="12.75">
      <c r="A57" s="48" t="s">
        <v>73</v>
      </c>
      <c r="B57" s="169" t="s">
        <v>0</v>
      </c>
      <c r="C57" s="169" t="s">
        <v>0</v>
      </c>
      <c r="D57" s="7" t="s">
        <v>1</v>
      </c>
      <c r="E57" s="7" t="s">
        <v>1</v>
      </c>
      <c r="F57" s="7" t="s">
        <v>1</v>
      </c>
      <c r="G57" s="7" t="s">
        <v>2</v>
      </c>
      <c r="H57" s="7" t="s">
        <v>2</v>
      </c>
      <c r="I57" s="7" t="s">
        <v>2</v>
      </c>
      <c r="J57" s="7" t="s">
        <v>2</v>
      </c>
      <c r="K57" s="7" t="s">
        <v>2</v>
      </c>
      <c r="L57" s="7" t="s">
        <v>2</v>
      </c>
      <c r="M57" s="7" t="s">
        <v>2</v>
      </c>
      <c r="N57" s="7" t="s">
        <v>3</v>
      </c>
      <c r="O57" s="7" t="s">
        <v>3</v>
      </c>
      <c r="P57" s="7" t="s">
        <v>3</v>
      </c>
      <c r="Q57" s="7" t="s">
        <v>3</v>
      </c>
    </row>
    <row r="58" spans="2:17" s="4" customFormat="1" ht="12.75">
      <c r="B58" s="192" t="s">
        <v>0</v>
      </c>
      <c r="C58" s="173" t="s">
        <v>0</v>
      </c>
      <c r="D58" s="33" t="s">
        <v>1</v>
      </c>
      <c r="E58" s="33" t="s">
        <v>1</v>
      </c>
      <c r="F58" s="33" t="s">
        <v>1</v>
      </c>
      <c r="G58" s="33" t="s">
        <v>1</v>
      </c>
      <c r="H58" s="33" t="s">
        <v>1</v>
      </c>
      <c r="I58" s="33" t="s">
        <v>1</v>
      </c>
      <c r="J58" s="33" t="s">
        <v>1</v>
      </c>
      <c r="K58" s="33" t="s">
        <v>1</v>
      </c>
      <c r="L58" s="33" t="s">
        <v>1</v>
      </c>
      <c r="M58" s="33" t="s">
        <v>1</v>
      </c>
      <c r="N58" s="33" t="s">
        <v>2</v>
      </c>
      <c r="O58" s="33" t="s">
        <v>2</v>
      </c>
      <c r="P58" s="33" t="s">
        <v>2</v>
      </c>
      <c r="Q58" s="33" t="s">
        <v>2</v>
      </c>
    </row>
    <row r="59" spans="1:17" s="4" customFormat="1" ht="12.75">
      <c r="A59" s="48"/>
      <c r="B59" s="170" t="s">
        <v>0</v>
      </c>
      <c r="C59" s="170" t="s">
        <v>0</v>
      </c>
      <c r="D59" s="22" t="s">
        <v>1</v>
      </c>
      <c r="E59" s="22" t="s">
        <v>1</v>
      </c>
      <c r="F59" s="22" t="s">
        <v>1</v>
      </c>
      <c r="G59" s="175" t="s">
        <v>1</v>
      </c>
      <c r="H59" s="175" t="s">
        <v>1</v>
      </c>
      <c r="I59" s="175" t="s">
        <v>1</v>
      </c>
      <c r="J59" s="176" t="s">
        <v>1</v>
      </c>
      <c r="K59" s="176" t="s">
        <v>1</v>
      </c>
      <c r="L59" s="176" t="s">
        <v>1</v>
      </c>
      <c r="M59" s="176" t="s">
        <v>1</v>
      </c>
      <c r="N59" s="175" t="s">
        <v>1</v>
      </c>
      <c r="O59" s="181" t="s">
        <v>1</v>
      </c>
      <c r="P59" s="181" t="s">
        <v>1</v>
      </c>
      <c r="Q59" s="181" t="s">
        <v>1</v>
      </c>
    </row>
    <row r="60" spans="1:17" s="4" customFormat="1" ht="12.75">
      <c r="A60" s="48" t="s">
        <v>74</v>
      </c>
      <c r="B60" s="169" t="s">
        <v>0</v>
      </c>
      <c r="C60" s="7" t="s">
        <v>1</v>
      </c>
      <c r="D60" s="7" t="s">
        <v>1</v>
      </c>
      <c r="E60" s="7" t="s">
        <v>42</v>
      </c>
      <c r="F60" s="7" t="s">
        <v>51</v>
      </c>
      <c r="G60" s="158" t="s">
        <v>1</v>
      </c>
      <c r="H60" s="158" t="s">
        <v>3</v>
      </c>
      <c r="I60" s="106" t="s">
        <v>42</v>
      </c>
      <c r="J60" s="162" t="s">
        <v>51</v>
      </c>
      <c r="K60" s="160" t="s">
        <v>16</v>
      </c>
      <c r="L60" s="158" t="s">
        <v>16</v>
      </c>
      <c r="M60" s="158" t="s">
        <v>16</v>
      </c>
      <c r="N60" s="158" t="s">
        <v>1</v>
      </c>
      <c r="O60" s="158" t="s">
        <v>2</v>
      </c>
      <c r="P60" s="158" t="s">
        <v>2</v>
      </c>
      <c r="Q60" s="158" t="s">
        <v>2</v>
      </c>
    </row>
    <row r="61" spans="1:17" s="4" customFormat="1" ht="12.75">
      <c r="A61" s="185"/>
      <c r="B61" s="186" t="s">
        <v>0</v>
      </c>
      <c r="C61" s="9" t="s">
        <v>1</v>
      </c>
      <c r="D61" s="9" t="s">
        <v>1</v>
      </c>
      <c r="E61" s="9" t="s">
        <v>42</v>
      </c>
      <c r="F61" s="9" t="s">
        <v>51</v>
      </c>
      <c r="G61" s="187" t="s">
        <v>42</v>
      </c>
      <c r="H61" s="187" t="s">
        <v>42</v>
      </c>
      <c r="I61" s="188" t="s">
        <v>51</v>
      </c>
      <c r="J61" s="189" t="s">
        <v>42</v>
      </c>
      <c r="K61" s="190" t="s">
        <v>51</v>
      </c>
      <c r="L61" s="187" t="s">
        <v>51</v>
      </c>
      <c r="M61" s="187" t="s">
        <v>42</v>
      </c>
      <c r="N61" s="187" t="s">
        <v>42</v>
      </c>
      <c r="O61" s="187" t="s">
        <v>1</v>
      </c>
      <c r="P61" s="187" t="s">
        <v>1</v>
      </c>
      <c r="Q61" s="187" t="s">
        <v>1</v>
      </c>
    </row>
    <row r="62" spans="1:17" s="4" customFormat="1" ht="12.75">
      <c r="A62" s="185"/>
      <c r="B62" s="186" t="s">
        <v>0</v>
      </c>
      <c r="C62" s="9" t="s">
        <v>1</v>
      </c>
      <c r="D62" s="9" t="s">
        <v>1</v>
      </c>
      <c r="E62" s="9" t="s">
        <v>42</v>
      </c>
      <c r="F62" s="9" t="s">
        <v>51</v>
      </c>
      <c r="G62" s="187" t="s">
        <v>51</v>
      </c>
      <c r="H62" s="187" t="s">
        <v>51</v>
      </c>
      <c r="I62" s="188" t="s">
        <v>51</v>
      </c>
      <c r="J62" s="189" t="s">
        <v>1</v>
      </c>
      <c r="K62" s="190" t="s">
        <v>51</v>
      </c>
      <c r="L62" s="187" t="s">
        <v>51</v>
      </c>
      <c r="M62" s="187" t="s">
        <v>51</v>
      </c>
      <c r="N62" s="187" t="s">
        <v>51</v>
      </c>
      <c r="O62" s="187" t="s">
        <v>16</v>
      </c>
      <c r="P62" s="187" t="s">
        <v>16</v>
      </c>
      <c r="Q62" s="187" t="s">
        <v>16</v>
      </c>
    </row>
    <row r="63" spans="1:17" s="4" customFormat="1" ht="12.75">
      <c r="A63" s="185"/>
      <c r="B63" s="186" t="s">
        <v>0</v>
      </c>
      <c r="C63" s="9" t="s">
        <v>1</v>
      </c>
      <c r="D63" s="9" t="s">
        <v>1</v>
      </c>
      <c r="E63" s="9" t="s">
        <v>42</v>
      </c>
      <c r="F63" s="9" t="s">
        <v>51</v>
      </c>
      <c r="G63" s="187" t="s">
        <v>51</v>
      </c>
      <c r="H63" s="187" t="s">
        <v>51</v>
      </c>
      <c r="I63" s="188" t="s">
        <v>51</v>
      </c>
      <c r="J63" s="189" t="s">
        <v>1</v>
      </c>
      <c r="K63" s="190" t="s">
        <v>51</v>
      </c>
      <c r="L63" s="187" t="s">
        <v>51</v>
      </c>
      <c r="M63" s="187" t="s">
        <v>51</v>
      </c>
      <c r="N63" s="187" t="s">
        <v>51</v>
      </c>
      <c r="O63" s="187" t="s">
        <v>51</v>
      </c>
      <c r="P63" s="187" t="s">
        <v>51</v>
      </c>
      <c r="Q63" s="187" t="s">
        <v>51</v>
      </c>
    </row>
    <row r="64" spans="1:17" s="4" customFormat="1" ht="12.75">
      <c r="A64" s="185"/>
      <c r="B64" s="186" t="s">
        <v>0</v>
      </c>
      <c r="C64" s="9" t="s">
        <v>1</v>
      </c>
      <c r="D64" s="9" t="s">
        <v>1</v>
      </c>
      <c r="E64" s="9" t="s">
        <v>42</v>
      </c>
      <c r="F64" s="9" t="s">
        <v>51</v>
      </c>
      <c r="G64" s="187" t="s">
        <v>51</v>
      </c>
      <c r="H64" s="187" t="s">
        <v>51</v>
      </c>
      <c r="I64" s="188" t="s">
        <v>51</v>
      </c>
      <c r="J64" s="189" t="s">
        <v>1</v>
      </c>
      <c r="K64" s="190" t="s">
        <v>51</v>
      </c>
      <c r="L64" s="187" t="s">
        <v>51</v>
      </c>
      <c r="M64" s="187" t="s">
        <v>51</v>
      </c>
      <c r="N64" s="187" t="s">
        <v>51</v>
      </c>
      <c r="O64" s="187" t="s">
        <v>42</v>
      </c>
      <c r="P64" s="187" t="s">
        <v>42</v>
      </c>
      <c r="Q64" s="187" t="s">
        <v>42</v>
      </c>
    </row>
    <row r="65" spans="1:17" s="4" customFormat="1" ht="12.75">
      <c r="A65" s="185"/>
      <c r="B65" s="186" t="s">
        <v>0</v>
      </c>
      <c r="C65" s="9" t="s">
        <v>1</v>
      </c>
      <c r="D65" s="9" t="s">
        <v>1</v>
      </c>
      <c r="E65" s="9" t="s">
        <v>42</v>
      </c>
      <c r="F65" s="9" t="s">
        <v>51</v>
      </c>
      <c r="G65" s="187" t="s">
        <v>51</v>
      </c>
      <c r="H65" s="187" t="s">
        <v>51</v>
      </c>
      <c r="I65" s="188" t="s">
        <v>51</v>
      </c>
      <c r="J65" s="189" t="s">
        <v>1</v>
      </c>
      <c r="K65" s="190" t="s">
        <v>51</v>
      </c>
      <c r="L65" s="187" t="s">
        <v>51</v>
      </c>
      <c r="M65" s="187" t="s">
        <v>51</v>
      </c>
      <c r="N65" s="187" t="s">
        <v>51</v>
      </c>
      <c r="O65" s="187" t="s">
        <v>3</v>
      </c>
      <c r="P65" s="187" t="s">
        <v>3</v>
      </c>
      <c r="Q65" s="187" t="s">
        <v>3</v>
      </c>
    </row>
    <row r="66" spans="2:17" s="4" customFormat="1" ht="12.75">
      <c r="B66" s="173" t="s">
        <v>0</v>
      </c>
      <c r="C66" s="33" t="s">
        <v>1</v>
      </c>
      <c r="D66" s="33" t="s">
        <v>1</v>
      </c>
      <c r="E66" s="33" t="s">
        <v>42</v>
      </c>
      <c r="F66" s="33" t="s">
        <v>51</v>
      </c>
      <c r="G66" s="177" t="s">
        <v>51</v>
      </c>
      <c r="H66" s="177" t="s">
        <v>51</v>
      </c>
      <c r="I66" s="75" t="s">
        <v>51</v>
      </c>
      <c r="J66" s="178" t="s">
        <v>1</v>
      </c>
      <c r="K66" s="180" t="s">
        <v>51</v>
      </c>
      <c r="L66" s="177" t="s">
        <v>51</v>
      </c>
      <c r="M66" s="177" t="s">
        <v>51</v>
      </c>
      <c r="N66" s="177" t="s">
        <v>51</v>
      </c>
      <c r="O66" s="187" t="s">
        <v>1</v>
      </c>
      <c r="P66" s="187" t="s">
        <v>1</v>
      </c>
      <c r="Q66" s="187" t="s">
        <v>1</v>
      </c>
    </row>
    <row r="67" spans="1:17" s="4" customFormat="1" ht="12.75">
      <c r="A67" s="49"/>
      <c r="B67" s="170" t="s">
        <v>0</v>
      </c>
      <c r="C67" s="22" t="s">
        <v>1</v>
      </c>
      <c r="D67" s="22" t="s">
        <v>1</v>
      </c>
      <c r="E67" s="27" t="s">
        <v>42</v>
      </c>
      <c r="F67" s="22" t="s">
        <v>51</v>
      </c>
      <c r="G67" s="175" t="s">
        <v>51</v>
      </c>
      <c r="H67" s="175" t="s">
        <v>51</v>
      </c>
      <c r="I67" s="159" t="s">
        <v>51</v>
      </c>
      <c r="J67" s="179" t="s">
        <v>1</v>
      </c>
      <c r="K67" s="161" t="s">
        <v>51</v>
      </c>
      <c r="L67" s="22" t="s">
        <v>51</v>
      </c>
      <c r="M67" s="175" t="s">
        <v>51</v>
      </c>
      <c r="N67" s="175" t="s">
        <v>51</v>
      </c>
      <c r="O67" s="191" t="s">
        <v>51</v>
      </c>
      <c r="P67" s="191" t="s">
        <v>51</v>
      </c>
      <c r="Q67" s="191" t="s">
        <v>51</v>
      </c>
    </row>
    <row r="68" spans="1:17" s="4" customFormat="1" ht="12.75" customHeight="1">
      <c r="A68" s="47" t="s">
        <v>31</v>
      </c>
      <c r="B68" s="44" t="s">
        <v>6</v>
      </c>
      <c r="C68" s="44" t="s">
        <v>6</v>
      </c>
      <c r="D68" s="99" t="s">
        <v>6</v>
      </c>
      <c r="E68" s="44" t="s">
        <v>6</v>
      </c>
      <c r="F68" s="45" t="s">
        <v>69</v>
      </c>
      <c r="G68" s="45" t="s">
        <v>69</v>
      </c>
      <c r="H68" s="45" t="s">
        <v>69</v>
      </c>
      <c r="I68" s="44" t="s">
        <v>6</v>
      </c>
      <c r="J68" s="45" t="s">
        <v>6</v>
      </c>
      <c r="K68" s="44" t="s">
        <v>6</v>
      </c>
      <c r="L68" s="44" t="s">
        <v>6</v>
      </c>
      <c r="M68" s="44" t="s">
        <v>6</v>
      </c>
      <c r="N68" s="44" t="s">
        <v>6</v>
      </c>
      <c r="O68" s="44" t="s">
        <v>69</v>
      </c>
      <c r="P68" s="44" t="s">
        <v>69</v>
      </c>
      <c r="Q68" s="45" t="s">
        <v>184</v>
      </c>
    </row>
    <row r="69" spans="1:17" s="4" customFormat="1" ht="12.75" customHeight="1">
      <c r="A69" s="48"/>
      <c r="B69" s="45" t="s">
        <v>7</v>
      </c>
      <c r="C69" s="45" t="s">
        <v>7</v>
      </c>
      <c r="D69" s="100" t="s">
        <v>7</v>
      </c>
      <c r="E69" s="45" t="s">
        <v>7</v>
      </c>
      <c r="F69" s="45" t="s">
        <v>69</v>
      </c>
      <c r="G69" s="45" t="s">
        <v>69</v>
      </c>
      <c r="H69" s="45" t="s">
        <v>69</v>
      </c>
      <c r="I69" s="45" t="s">
        <v>69</v>
      </c>
      <c r="J69" s="45" t="s">
        <v>69</v>
      </c>
      <c r="K69" s="45" t="s">
        <v>69</v>
      </c>
      <c r="L69" s="45" t="s">
        <v>69</v>
      </c>
      <c r="M69" s="45" t="s">
        <v>69</v>
      </c>
      <c r="N69" s="45" t="s">
        <v>69</v>
      </c>
      <c r="O69" s="45" t="s">
        <v>69</v>
      </c>
      <c r="P69" s="45" t="s">
        <v>69</v>
      </c>
      <c r="Q69" s="45" t="s">
        <v>185</v>
      </c>
    </row>
    <row r="70" spans="1:17" s="4" customFormat="1" ht="12.75" customHeight="1">
      <c r="A70" s="48"/>
      <c r="B70" s="45" t="s">
        <v>32</v>
      </c>
      <c r="C70" s="45" t="s">
        <v>32</v>
      </c>
      <c r="D70" s="100" t="s">
        <v>52</v>
      </c>
      <c r="E70" s="45" t="s">
        <v>67</v>
      </c>
      <c r="F70" s="45" t="s">
        <v>67</v>
      </c>
      <c r="G70" s="45" t="s">
        <v>67</v>
      </c>
      <c r="H70" s="45" t="s">
        <v>67</v>
      </c>
      <c r="I70" s="45" t="s">
        <v>67</v>
      </c>
      <c r="J70" s="45" t="s">
        <v>52</v>
      </c>
      <c r="K70" s="45" t="s">
        <v>52</v>
      </c>
      <c r="L70" s="45" t="s">
        <v>52</v>
      </c>
      <c r="M70" s="45" t="s">
        <v>52</v>
      </c>
      <c r="N70" s="45" t="s">
        <v>52</v>
      </c>
      <c r="O70" s="45" t="s">
        <v>96</v>
      </c>
      <c r="P70" s="45" t="s">
        <v>96</v>
      </c>
      <c r="Q70" s="45" t="s">
        <v>186</v>
      </c>
    </row>
    <row r="71" spans="1:17" s="4" customFormat="1" ht="12.75" customHeight="1">
      <c r="A71" s="48"/>
      <c r="B71" s="45" t="s">
        <v>53</v>
      </c>
      <c r="C71" s="100" t="s">
        <v>33</v>
      </c>
      <c r="D71" s="100" t="s">
        <v>33</v>
      </c>
      <c r="E71" s="45" t="s">
        <v>33</v>
      </c>
      <c r="F71" s="45" t="s">
        <v>80</v>
      </c>
      <c r="G71" s="45" t="s">
        <v>81</v>
      </c>
      <c r="H71" s="45" t="s">
        <v>81</v>
      </c>
      <c r="I71" s="45" t="s">
        <v>81</v>
      </c>
      <c r="J71" s="45" t="s">
        <v>81</v>
      </c>
      <c r="K71" s="45" t="s">
        <v>81</v>
      </c>
      <c r="L71" s="45" t="s">
        <v>81</v>
      </c>
      <c r="M71" s="45" t="s">
        <v>81</v>
      </c>
      <c r="N71" s="45" t="s">
        <v>81</v>
      </c>
      <c r="O71" s="45" t="s">
        <v>101</v>
      </c>
      <c r="P71" s="45" t="s">
        <v>101</v>
      </c>
      <c r="Q71" s="45" t="s">
        <v>187</v>
      </c>
    </row>
    <row r="72" spans="1:17" s="4" customFormat="1" ht="12.75" customHeight="1">
      <c r="A72" s="48"/>
      <c r="B72" s="171" t="s">
        <v>0</v>
      </c>
      <c r="C72" s="45" t="s">
        <v>99</v>
      </c>
      <c r="D72" s="100" t="s">
        <v>32</v>
      </c>
      <c r="E72" s="45" t="s">
        <v>68</v>
      </c>
      <c r="F72" s="45" t="s">
        <v>61</v>
      </c>
      <c r="G72" s="45" t="s">
        <v>61</v>
      </c>
      <c r="H72" s="45" t="s">
        <v>61</v>
      </c>
      <c r="I72" s="45" t="s">
        <v>61</v>
      </c>
      <c r="J72" s="45" t="s">
        <v>61</v>
      </c>
      <c r="K72" s="45" t="s">
        <v>61</v>
      </c>
      <c r="L72" s="45" t="s">
        <v>61</v>
      </c>
      <c r="M72" s="45" t="s">
        <v>61</v>
      </c>
      <c r="N72" s="45" t="s">
        <v>61</v>
      </c>
      <c r="O72" s="45" t="s">
        <v>48</v>
      </c>
      <c r="P72" s="45" t="s">
        <v>48</v>
      </c>
      <c r="Q72" s="45" t="s">
        <v>69</v>
      </c>
    </row>
    <row r="73" spans="1:17" s="4" customFormat="1" ht="12.75" customHeight="1">
      <c r="A73" s="48"/>
      <c r="B73" s="171" t="s">
        <v>0</v>
      </c>
      <c r="C73" s="45" t="s">
        <v>96</v>
      </c>
      <c r="D73" s="100" t="s">
        <v>33</v>
      </c>
      <c r="E73" s="45" t="s">
        <v>33</v>
      </c>
      <c r="F73" s="45" t="s">
        <v>62</v>
      </c>
      <c r="G73" s="45" t="s">
        <v>62</v>
      </c>
      <c r="H73" s="45" t="s">
        <v>62</v>
      </c>
      <c r="I73" s="45" t="s">
        <v>62</v>
      </c>
      <c r="J73" s="45" t="s">
        <v>62</v>
      </c>
      <c r="K73" s="45" t="s">
        <v>62</v>
      </c>
      <c r="L73" s="45" t="s">
        <v>62</v>
      </c>
      <c r="M73" s="45" t="s">
        <v>62</v>
      </c>
      <c r="N73" s="45" t="s">
        <v>62</v>
      </c>
      <c r="O73" s="45" t="s">
        <v>47</v>
      </c>
      <c r="P73" s="45" t="s">
        <v>47</v>
      </c>
      <c r="Q73" s="197"/>
    </row>
    <row r="74" spans="1:17" ht="12.75">
      <c r="A74" s="48"/>
      <c r="B74" s="171" t="s">
        <v>0</v>
      </c>
      <c r="C74" s="45" t="s">
        <v>98</v>
      </c>
      <c r="D74" s="173" t="s">
        <v>0</v>
      </c>
      <c r="E74" s="45" t="s">
        <v>48</v>
      </c>
      <c r="F74" s="171" t="s">
        <v>0</v>
      </c>
      <c r="G74" s="171" t="s">
        <v>0</v>
      </c>
      <c r="H74" s="171" t="s">
        <v>0</v>
      </c>
      <c r="I74" s="171" t="s">
        <v>0</v>
      </c>
      <c r="J74" s="171" t="s">
        <v>0</v>
      </c>
      <c r="K74" s="171" t="s">
        <v>0</v>
      </c>
      <c r="L74" s="171" t="s">
        <v>0</v>
      </c>
      <c r="M74" s="171" t="s">
        <v>0</v>
      </c>
      <c r="N74" s="171" t="s">
        <v>0</v>
      </c>
      <c r="O74" s="45" t="s">
        <v>69</v>
      </c>
      <c r="P74" s="45" t="s">
        <v>69</v>
      </c>
      <c r="Q74" s="197"/>
    </row>
    <row r="75" spans="1:17" ht="12.75">
      <c r="A75" s="48"/>
      <c r="B75" s="172" t="s">
        <v>0</v>
      </c>
      <c r="C75" s="101" t="s">
        <v>47</v>
      </c>
      <c r="D75" s="101" t="s">
        <v>62</v>
      </c>
      <c r="E75" s="46" t="s">
        <v>47</v>
      </c>
      <c r="F75" s="172" t="s">
        <v>0</v>
      </c>
      <c r="G75" s="172" t="s">
        <v>0</v>
      </c>
      <c r="H75" s="172" t="s">
        <v>0</v>
      </c>
      <c r="I75" s="172" t="s">
        <v>0</v>
      </c>
      <c r="J75" s="172" t="s">
        <v>0</v>
      </c>
      <c r="K75" s="172" t="s">
        <v>0</v>
      </c>
      <c r="L75" s="172" t="s">
        <v>0</v>
      </c>
      <c r="M75" s="172" t="s">
        <v>0</v>
      </c>
      <c r="N75" s="172" t="s">
        <v>0</v>
      </c>
      <c r="O75" s="172" t="s">
        <v>0</v>
      </c>
      <c r="P75" s="172" t="s">
        <v>0</v>
      </c>
      <c r="Q75" s="172" t="s">
        <v>0</v>
      </c>
    </row>
    <row r="76" spans="1:17" ht="12.75">
      <c r="A76" s="48"/>
      <c r="B76" s="35" t="s">
        <v>1</v>
      </c>
      <c r="C76" s="35" t="s">
        <v>1</v>
      </c>
      <c r="D76" s="35" t="s">
        <v>1</v>
      </c>
      <c r="E76" s="35" t="s">
        <v>1</v>
      </c>
      <c r="F76" s="35" t="s">
        <v>1</v>
      </c>
      <c r="G76" s="35" t="s">
        <v>1</v>
      </c>
      <c r="H76" s="35" t="s">
        <v>1</v>
      </c>
      <c r="I76" s="35" t="s">
        <v>1</v>
      </c>
      <c r="J76" s="35" t="s">
        <v>1</v>
      </c>
      <c r="K76" s="35" t="s">
        <v>1</v>
      </c>
      <c r="L76" s="35" t="s">
        <v>1</v>
      </c>
      <c r="M76" s="35" t="s">
        <v>1</v>
      </c>
      <c r="N76" s="35" t="s">
        <v>1</v>
      </c>
      <c r="O76" s="35" t="s">
        <v>1</v>
      </c>
      <c r="P76" s="35" t="s">
        <v>1</v>
      </c>
      <c r="Q76" s="35" t="s">
        <v>19</v>
      </c>
    </row>
    <row r="77" spans="1:17" ht="12.75">
      <c r="A77" s="48"/>
      <c r="B77" s="35" t="s">
        <v>16</v>
      </c>
      <c r="C77" s="35" t="s">
        <v>16</v>
      </c>
      <c r="D77" s="35" t="s">
        <v>16</v>
      </c>
      <c r="E77" s="35" t="s">
        <v>16</v>
      </c>
      <c r="F77" s="35" t="s">
        <v>16</v>
      </c>
      <c r="G77" s="35" t="s">
        <v>16</v>
      </c>
      <c r="H77" s="35" t="s">
        <v>16</v>
      </c>
      <c r="I77" s="35" t="s">
        <v>16</v>
      </c>
      <c r="J77" s="35" t="s">
        <v>16</v>
      </c>
      <c r="K77" s="35" t="s">
        <v>16</v>
      </c>
      <c r="L77" s="35" t="s">
        <v>16</v>
      </c>
      <c r="M77" s="35" t="s">
        <v>16</v>
      </c>
      <c r="N77" s="35" t="s">
        <v>16</v>
      </c>
      <c r="O77" s="35" t="s">
        <v>16</v>
      </c>
      <c r="P77" s="35" t="s">
        <v>16</v>
      </c>
      <c r="Q77" s="35" t="s">
        <v>17</v>
      </c>
    </row>
    <row r="78" spans="1:17" ht="12.75">
      <c r="A78" s="48"/>
      <c r="B78" s="35" t="s">
        <v>19</v>
      </c>
      <c r="C78" s="35" t="s">
        <v>17</v>
      </c>
      <c r="D78" s="35" t="s">
        <v>19</v>
      </c>
      <c r="E78" s="55" t="s">
        <v>4</v>
      </c>
      <c r="F78" s="55" t="s">
        <v>4</v>
      </c>
      <c r="G78" s="35" t="s">
        <v>19</v>
      </c>
      <c r="H78" s="35" t="s">
        <v>19</v>
      </c>
      <c r="I78" s="35" t="s">
        <v>19</v>
      </c>
      <c r="J78" s="35" t="s">
        <v>19</v>
      </c>
      <c r="K78" s="35" t="s">
        <v>19</v>
      </c>
      <c r="L78" s="35" t="s">
        <v>19</v>
      </c>
      <c r="M78" s="35" t="s">
        <v>19</v>
      </c>
      <c r="N78" s="35" t="s">
        <v>19</v>
      </c>
      <c r="O78" s="35" t="s">
        <v>19</v>
      </c>
      <c r="P78" s="35" t="s">
        <v>19</v>
      </c>
      <c r="Q78" s="35" t="s">
        <v>34</v>
      </c>
    </row>
    <row r="79" spans="1:17" ht="12.75">
      <c r="A79" s="48"/>
      <c r="B79" s="35" t="s">
        <v>5</v>
      </c>
      <c r="C79" s="35" t="s">
        <v>5</v>
      </c>
      <c r="D79" s="35" t="s">
        <v>5</v>
      </c>
      <c r="E79" s="35" t="s">
        <v>5</v>
      </c>
      <c r="F79" s="55" t="s">
        <v>4</v>
      </c>
      <c r="G79" s="35" t="s">
        <v>17</v>
      </c>
      <c r="H79" s="35" t="s">
        <v>17</v>
      </c>
      <c r="I79" s="35" t="s">
        <v>17</v>
      </c>
      <c r="J79" s="35" t="s">
        <v>17</v>
      </c>
      <c r="K79" s="35" t="s">
        <v>17</v>
      </c>
      <c r="L79" s="35" t="s">
        <v>17</v>
      </c>
      <c r="M79" s="35" t="s">
        <v>17</v>
      </c>
      <c r="N79" s="35" t="s">
        <v>17</v>
      </c>
      <c r="O79" s="35" t="s">
        <v>17</v>
      </c>
      <c r="P79" s="35" t="s">
        <v>17</v>
      </c>
      <c r="Q79" s="35" t="s">
        <v>35</v>
      </c>
    </row>
    <row r="80" spans="1:17" ht="12.75">
      <c r="A80" s="48"/>
      <c r="B80" s="35" t="s">
        <v>17</v>
      </c>
      <c r="C80" s="35" t="s">
        <v>18</v>
      </c>
      <c r="D80" s="35" t="s">
        <v>17</v>
      </c>
      <c r="E80" s="55" t="s">
        <v>4</v>
      </c>
      <c r="F80" s="35" t="s">
        <v>34</v>
      </c>
      <c r="G80" s="35" t="s">
        <v>34</v>
      </c>
      <c r="H80" s="35" t="s">
        <v>34</v>
      </c>
      <c r="I80" s="35" t="s">
        <v>34</v>
      </c>
      <c r="J80" s="35" t="s">
        <v>34</v>
      </c>
      <c r="K80" s="35" t="s">
        <v>34</v>
      </c>
      <c r="L80" s="35" t="s">
        <v>34</v>
      </c>
      <c r="M80" s="35" t="s">
        <v>34</v>
      </c>
      <c r="N80" s="35" t="s">
        <v>34</v>
      </c>
      <c r="O80" s="35" t="s">
        <v>34</v>
      </c>
      <c r="P80" s="35" t="s">
        <v>34</v>
      </c>
      <c r="Q80" s="35" t="s">
        <v>87</v>
      </c>
    </row>
    <row r="81" spans="1:17" ht="12.75">
      <c r="A81" s="48"/>
      <c r="B81" s="35" t="s">
        <v>18</v>
      </c>
      <c r="C81" s="35" t="s">
        <v>19</v>
      </c>
      <c r="D81" s="35" t="s">
        <v>18</v>
      </c>
      <c r="E81" s="35" t="s">
        <v>18</v>
      </c>
      <c r="F81" s="35" t="s">
        <v>35</v>
      </c>
      <c r="G81" s="35" t="s">
        <v>35</v>
      </c>
      <c r="H81" s="35" t="s">
        <v>35</v>
      </c>
      <c r="I81" s="35" t="s">
        <v>35</v>
      </c>
      <c r="J81" s="35" t="s">
        <v>35</v>
      </c>
      <c r="K81" s="35" t="s">
        <v>35</v>
      </c>
      <c r="L81" s="35" t="s">
        <v>35</v>
      </c>
      <c r="M81" s="35" t="s">
        <v>35</v>
      </c>
      <c r="N81" s="35" t="s">
        <v>35</v>
      </c>
      <c r="O81" s="35" t="s">
        <v>35</v>
      </c>
      <c r="P81" s="35" t="s">
        <v>35</v>
      </c>
      <c r="Q81" s="55" t="s">
        <v>4</v>
      </c>
    </row>
    <row r="82" spans="1:17" s="4" customFormat="1" ht="12.75">
      <c r="A82" s="48"/>
      <c r="B82" s="35" t="s">
        <v>34</v>
      </c>
      <c r="C82" s="35" t="s">
        <v>34</v>
      </c>
      <c r="D82" s="35" t="s">
        <v>34</v>
      </c>
      <c r="E82" s="35" t="s">
        <v>34</v>
      </c>
      <c r="F82" s="55" t="s">
        <v>4</v>
      </c>
      <c r="G82" s="55" t="s">
        <v>4</v>
      </c>
      <c r="H82" s="55" t="s">
        <v>4</v>
      </c>
      <c r="I82" s="55" t="s">
        <v>4</v>
      </c>
      <c r="J82" s="55" t="s">
        <v>4</v>
      </c>
      <c r="K82" s="55" t="s">
        <v>4</v>
      </c>
      <c r="L82" s="55" t="s">
        <v>4</v>
      </c>
      <c r="M82" s="55" t="s">
        <v>4</v>
      </c>
      <c r="N82" s="55" t="s">
        <v>4</v>
      </c>
      <c r="O82" s="35" t="s">
        <v>87</v>
      </c>
      <c r="P82" s="35" t="s">
        <v>87</v>
      </c>
      <c r="Q82" s="55" t="s">
        <v>4</v>
      </c>
    </row>
    <row r="83" spans="1:17" s="4" customFormat="1" ht="12.75">
      <c r="A83" s="49"/>
      <c r="B83" s="37" t="s">
        <v>35</v>
      </c>
      <c r="C83" s="37" t="s">
        <v>35</v>
      </c>
      <c r="D83" s="37" t="s">
        <v>35</v>
      </c>
      <c r="E83" s="37" t="s">
        <v>35</v>
      </c>
      <c r="F83" s="89" t="s">
        <v>4</v>
      </c>
      <c r="G83" s="89" t="s">
        <v>4</v>
      </c>
      <c r="H83" s="89" t="s">
        <v>4</v>
      </c>
      <c r="I83" s="89" t="s">
        <v>4</v>
      </c>
      <c r="J83" s="89" t="s">
        <v>4</v>
      </c>
      <c r="K83" s="89" t="s">
        <v>4</v>
      </c>
      <c r="L83" s="89" t="s">
        <v>4</v>
      </c>
      <c r="M83" s="89" t="s">
        <v>4</v>
      </c>
      <c r="N83" s="89" t="s">
        <v>4</v>
      </c>
      <c r="O83" s="89" t="s">
        <v>4</v>
      </c>
      <c r="P83" s="89" t="s">
        <v>4</v>
      </c>
      <c r="Q83" s="89" t="s">
        <v>4</v>
      </c>
    </row>
    <row r="84" spans="1:17" ht="12.75">
      <c r="A84" s="47" t="s">
        <v>45</v>
      </c>
      <c r="B84" s="169" t="s">
        <v>0</v>
      </c>
      <c r="C84" s="7" t="s">
        <v>79</v>
      </c>
      <c r="D84" s="19" t="s">
        <v>65</v>
      </c>
      <c r="E84" s="19" t="s">
        <v>65</v>
      </c>
      <c r="F84" s="19" t="s">
        <v>65</v>
      </c>
      <c r="G84" s="19" t="s">
        <v>75</v>
      </c>
      <c r="H84" s="19" t="s">
        <v>75</v>
      </c>
      <c r="I84" s="19" t="s">
        <v>75</v>
      </c>
      <c r="J84" s="19" t="s">
        <v>75</v>
      </c>
      <c r="K84" s="19" t="s">
        <v>75</v>
      </c>
      <c r="L84" s="19" t="s">
        <v>75</v>
      </c>
      <c r="M84" s="19" t="s">
        <v>75</v>
      </c>
      <c r="N84" s="19" t="s">
        <v>90</v>
      </c>
      <c r="O84" s="7" t="s">
        <v>90</v>
      </c>
      <c r="P84" s="7" t="s">
        <v>90</v>
      </c>
      <c r="Q84" s="7" t="s">
        <v>90</v>
      </c>
    </row>
    <row r="85" spans="2:17" ht="12.75">
      <c r="B85" s="163" t="s">
        <v>0</v>
      </c>
      <c r="C85" s="9" t="s">
        <v>79</v>
      </c>
      <c r="D85" s="9" t="s">
        <v>65</v>
      </c>
      <c r="E85" s="9" t="s">
        <v>65</v>
      </c>
      <c r="F85" s="9" t="s">
        <v>65</v>
      </c>
      <c r="G85" s="9" t="s">
        <v>65</v>
      </c>
      <c r="H85" s="9" t="s">
        <v>65</v>
      </c>
      <c r="I85" s="9" t="s">
        <v>65</v>
      </c>
      <c r="J85" s="9" t="s">
        <v>65</v>
      </c>
      <c r="K85" s="9" t="s">
        <v>65</v>
      </c>
      <c r="L85" s="9" t="s">
        <v>65</v>
      </c>
      <c r="M85" s="9" t="s">
        <v>65</v>
      </c>
      <c r="N85" s="9" t="s">
        <v>75</v>
      </c>
      <c r="O85" s="9" t="s">
        <v>75</v>
      </c>
      <c r="P85" s="9" t="s">
        <v>75</v>
      </c>
      <c r="Q85" s="9" t="s">
        <v>75</v>
      </c>
    </row>
    <row r="86" spans="1:17" ht="12.75">
      <c r="A86" s="49"/>
      <c r="B86" s="170" t="s">
        <v>0</v>
      </c>
      <c r="C86" s="22" t="s">
        <v>79</v>
      </c>
      <c r="D86" s="27" t="s">
        <v>65</v>
      </c>
      <c r="E86" s="27" t="s">
        <v>65</v>
      </c>
      <c r="F86" s="27" t="s">
        <v>65</v>
      </c>
      <c r="G86" s="27" t="s">
        <v>65</v>
      </c>
      <c r="H86" s="27" t="s">
        <v>65</v>
      </c>
      <c r="I86" s="27" t="s">
        <v>65</v>
      </c>
      <c r="J86" s="27" t="s">
        <v>65</v>
      </c>
      <c r="K86" s="27" t="s">
        <v>65</v>
      </c>
      <c r="L86" s="27" t="s">
        <v>65</v>
      </c>
      <c r="M86" s="27" t="s">
        <v>65</v>
      </c>
      <c r="N86" s="181" t="s">
        <v>65</v>
      </c>
      <c r="O86" s="181" t="s">
        <v>65</v>
      </c>
      <c r="P86" s="181" t="s">
        <v>65</v>
      </c>
      <c r="Q86" s="181" t="s">
        <v>65</v>
      </c>
    </row>
    <row r="87" spans="1:17" ht="12.75">
      <c r="A87" s="47" t="s">
        <v>84</v>
      </c>
      <c r="B87" s="169" t="s">
        <v>0</v>
      </c>
      <c r="C87" s="169" t="s">
        <v>0</v>
      </c>
      <c r="D87" s="169" t="s">
        <v>0</v>
      </c>
      <c r="E87" s="169" t="s">
        <v>0</v>
      </c>
      <c r="F87" s="169" t="s">
        <v>0</v>
      </c>
      <c r="G87" s="169" t="s">
        <v>0</v>
      </c>
      <c r="H87" s="169" t="s">
        <v>0</v>
      </c>
      <c r="I87" s="169" t="s">
        <v>0</v>
      </c>
      <c r="J87" s="169" t="s">
        <v>0</v>
      </c>
      <c r="K87" s="169" t="s">
        <v>0</v>
      </c>
      <c r="L87" s="7" t="s">
        <v>85</v>
      </c>
      <c r="M87" s="7" t="s">
        <v>85</v>
      </c>
      <c r="N87" s="7" t="s">
        <v>85</v>
      </c>
      <c r="O87" s="7" t="s">
        <v>85</v>
      </c>
      <c r="P87" s="7" t="s">
        <v>85</v>
      </c>
      <c r="Q87" s="7" t="s">
        <v>85</v>
      </c>
    </row>
    <row r="88" spans="1:17" ht="12.75">
      <c r="A88" s="49"/>
      <c r="B88" s="166" t="s">
        <v>0</v>
      </c>
      <c r="C88" s="166" t="s">
        <v>0</v>
      </c>
      <c r="D88" s="166" t="s">
        <v>0</v>
      </c>
      <c r="E88" s="166" t="s">
        <v>0</v>
      </c>
      <c r="F88" s="166" t="s">
        <v>0</v>
      </c>
      <c r="G88" s="166" t="s">
        <v>0</v>
      </c>
      <c r="H88" s="166" t="s">
        <v>0</v>
      </c>
      <c r="I88" s="166" t="s">
        <v>0</v>
      </c>
      <c r="J88" s="166" t="s">
        <v>0</v>
      </c>
      <c r="K88" s="166" t="s">
        <v>0</v>
      </c>
      <c r="L88" s="10" t="s">
        <v>86</v>
      </c>
      <c r="M88" s="10" t="s">
        <v>86</v>
      </c>
      <c r="N88" s="10" t="s">
        <v>86</v>
      </c>
      <c r="O88" s="10" t="s">
        <v>86</v>
      </c>
      <c r="P88" s="10" t="s">
        <v>86</v>
      </c>
      <c r="Q88" s="10" t="s">
        <v>86</v>
      </c>
    </row>
    <row r="89" spans="1:17" ht="12.75">
      <c r="A89" s="47" t="s">
        <v>91</v>
      </c>
      <c r="B89" s="17" t="s">
        <v>0</v>
      </c>
      <c r="C89" s="17" t="s">
        <v>0</v>
      </c>
      <c r="D89" s="17" t="s">
        <v>0</v>
      </c>
      <c r="E89" s="17" t="s">
        <v>0</v>
      </c>
      <c r="F89" s="17" t="s">
        <v>0</v>
      </c>
      <c r="G89" s="17" t="s">
        <v>0</v>
      </c>
      <c r="H89" s="17" t="s">
        <v>0</v>
      </c>
      <c r="I89" s="17" t="s">
        <v>0</v>
      </c>
      <c r="J89" s="17" t="s">
        <v>0</v>
      </c>
      <c r="K89" s="17" t="s">
        <v>0</v>
      </c>
      <c r="L89" s="17" t="s">
        <v>0</v>
      </c>
      <c r="M89" s="17" t="s">
        <v>0</v>
      </c>
      <c r="N89" s="17" t="s">
        <v>0</v>
      </c>
      <c r="O89" s="142" t="s">
        <v>92</v>
      </c>
      <c r="P89" s="142" t="s">
        <v>92</v>
      </c>
      <c r="Q89" s="142" t="s">
        <v>92</v>
      </c>
    </row>
    <row r="90" spans="1:17" ht="12.75">
      <c r="A90" s="48"/>
      <c r="B90" s="169" t="s">
        <v>0</v>
      </c>
      <c r="C90" s="169" t="s">
        <v>0</v>
      </c>
      <c r="D90" s="169" t="s">
        <v>0</v>
      </c>
      <c r="E90" s="169" t="s">
        <v>0</v>
      </c>
      <c r="F90" s="169" t="s">
        <v>0</v>
      </c>
      <c r="G90" s="169" t="s">
        <v>0</v>
      </c>
      <c r="H90" s="169" t="s">
        <v>0</v>
      </c>
      <c r="I90" s="169" t="s">
        <v>0</v>
      </c>
      <c r="J90" s="169" t="s">
        <v>0</v>
      </c>
      <c r="K90" s="169" t="s">
        <v>0</v>
      </c>
      <c r="L90" s="169" t="s">
        <v>0</v>
      </c>
      <c r="M90" s="169" t="s">
        <v>0</v>
      </c>
      <c r="N90" s="169" t="s">
        <v>0</v>
      </c>
      <c r="O90" s="7" t="s">
        <v>102</v>
      </c>
      <c r="P90" s="7" t="s">
        <v>102</v>
      </c>
      <c r="Q90" s="7" t="s">
        <v>201</v>
      </c>
    </row>
    <row r="91" spans="1:17" ht="12.75">
      <c r="A91" s="48"/>
      <c r="B91" s="163" t="s">
        <v>0</v>
      </c>
      <c r="C91" s="163" t="s">
        <v>0</v>
      </c>
      <c r="D91" s="163" t="s">
        <v>0</v>
      </c>
      <c r="E91" s="163" t="s">
        <v>0</v>
      </c>
      <c r="F91" s="163" t="s">
        <v>0</v>
      </c>
      <c r="G91" s="163" t="s">
        <v>0</v>
      </c>
      <c r="H91" s="163" t="s">
        <v>0</v>
      </c>
      <c r="I91" s="163" t="s">
        <v>0</v>
      </c>
      <c r="J91" s="163" t="s">
        <v>0</v>
      </c>
      <c r="K91" s="163" t="s">
        <v>0</v>
      </c>
      <c r="L91" s="163" t="s">
        <v>0</v>
      </c>
      <c r="M91" s="163" t="s">
        <v>0</v>
      </c>
      <c r="N91" s="163" t="s">
        <v>0</v>
      </c>
      <c r="O91" s="9" t="s">
        <v>93</v>
      </c>
      <c r="P91" s="9" t="s">
        <v>93</v>
      </c>
      <c r="Q91" s="9" t="s">
        <v>171</v>
      </c>
    </row>
    <row r="92" spans="1:17" ht="12.75">
      <c r="A92" s="48"/>
      <c r="B92" s="163" t="s">
        <v>0</v>
      </c>
      <c r="C92" s="163" t="s">
        <v>0</v>
      </c>
      <c r="D92" s="163" t="s">
        <v>0</v>
      </c>
      <c r="E92" s="163" t="s">
        <v>0</v>
      </c>
      <c r="F92" s="163" t="s">
        <v>0</v>
      </c>
      <c r="G92" s="163" t="s">
        <v>0</v>
      </c>
      <c r="H92" s="163" t="s">
        <v>0</v>
      </c>
      <c r="I92" s="163" t="s">
        <v>0</v>
      </c>
      <c r="J92" s="163" t="s">
        <v>0</v>
      </c>
      <c r="K92" s="163" t="s">
        <v>0</v>
      </c>
      <c r="L92" s="163" t="s">
        <v>0</v>
      </c>
      <c r="M92" s="163" t="s">
        <v>0</v>
      </c>
      <c r="N92" s="163" t="s">
        <v>0</v>
      </c>
      <c r="O92" s="9" t="s">
        <v>94</v>
      </c>
      <c r="P92" s="9" t="s">
        <v>94</v>
      </c>
      <c r="Q92" s="9" t="s">
        <v>202</v>
      </c>
    </row>
    <row r="93" spans="1:17" ht="12.75">
      <c r="A93" s="48"/>
      <c r="B93" s="166" t="s">
        <v>0</v>
      </c>
      <c r="C93" s="166" t="s">
        <v>0</v>
      </c>
      <c r="D93" s="166" t="s">
        <v>0</v>
      </c>
      <c r="E93" s="166" t="s">
        <v>0</v>
      </c>
      <c r="F93" s="166" t="s">
        <v>0</v>
      </c>
      <c r="G93" s="166" t="s">
        <v>0</v>
      </c>
      <c r="H93" s="166" t="s">
        <v>0</v>
      </c>
      <c r="I93" s="166" t="s">
        <v>0</v>
      </c>
      <c r="J93" s="166" t="s">
        <v>0</v>
      </c>
      <c r="K93" s="166" t="s">
        <v>0</v>
      </c>
      <c r="L93" s="166" t="s">
        <v>0</v>
      </c>
      <c r="M93" s="166" t="s">
        <v>0</v>
      </c>
      <c r="N93" s="166" t="s">
        <v>0</v>
      </c>
      <c r="O93" s="9" t="s">
        <v>95</v>
      </c>
      <c r="P93" s="9" t="s">
        <v>95</v>
      </c>
      <c r="Q93" s="9" t="s">
        <v>173</v>
      </c>
    </row>
    <row r="94" spans="1:17" ht="12.75">
      <c r="A94" s="48"/>
      <c r="B94" s="169" t="s">
        <v>0</v>
      </c>
      <c r="C94" s="169" t="s">
        <v>0</v>
      </c>
      <c r="D94" s="169" t="s">
        <v>0</v>
      </c>
      <c r="E94" s="169" t="s">
        <v>0</v>
      </c>
      <c r="F94" s="169" t="s">
        <v>0</v>
      </c>
      <c r="G94" s="169" t="s">
        <v>0</v>
      </c>
      <c r="H94" s="169" t="s">
        <v>0</v>
      </c>
      <c r="I94" s="169" t="s">
        <v>0</v>
      </c>
      <c r="J94" s="169" t="s">
        <v>0</v>
      </c>
      <c r="K94" s="169" t="s">
        <v>0</v>
      </c>
      <c r="L94" s="169" t="s">
        <v>0</v>
      </c>
      <c r="M94" s="169" t="s">
        <v>0</v>
      </c>
      <c r="N94" s="169" t="s">
        <v>0</v>
      </c>
      <c r="O94" s="7">
        <v>0</v>
      </c>
      <c r="P94" s="7">
        <v>0</v>
      </c>
      <c r="Q94" s="7">
        <v>0</v>
      </c>
    </row>
    <row r="95" spans="1:17" ht="12.75">
      <c r="A95" s="48"/>
      <c r="B95" s="163" t="s">
        <v>0</v>
      </c>
      <c r="C95" s="163" t="s">
        <v>0</v>
      </c>
      <c r="D95" s="163" t="s">
        <v>0</v>
      </c>
      <c r="E95" s="163" t="s">
        <v>0</v>
      </c>
      <c r="F95" s="163" t="s">
        <v>0</v>
      </c>
      <c r="G95" s="163" t="s">
        <v>0</v>
      </c>
      <c r="H95" s="163" t="s">
        <v>0</v>
      </c>
      <c r="I95" s="163" t="s">
        <v>0</v>
      </c>
      <c r="J95" s="163" t="s">
        <v>0</v>
      </c>
      <c r="K95" s="163" t="s">
        <v>0</v>
      </c>
      <c r="L95" s="163" t="s">
        <v>0</v>
      </c>
      <c r="M95" s="163" t="s">
        <v>0</v>
      </c>
      <c r="N95" s="163" t="s">
        <v>0</v>
      </c>
      <c r="O95" s="9">
        <v>1</v>
      </c>
      <c r="P95" s="9">
        <v>1</v>
      </c>
      <c r="Q95" s="9">
        <v>1</v>
      </c>
    </row>
    <row r="96" spans="1:17" ht="12.75">
      <c r="A96" s="48"/>
      <c r="B96" s="163" t="s">
        <v>0</v>
      </c>
      <c r="C96" s="163" t="s">
        <v>0</v>
      </c>
      <c r="D96" s="163" t="s">
        <v>0</v>
      </c>
      <c r="E96" s="163" t="s">
        <v>0</v>
      </c>
      <c r="F96" s="163" t="s">
        <v>0</v>
      </c>
      <c r="G96" s="163" t="s">
        <v>0</v>
      </c>
      <c r="H96" s="163" t="s">
        <v>0</v>
      </c>
      <c r="I96" s="163" t="s">
        <v>0</v>
      </c>
      <c r="J96" s="163" t="s">
        <v>0</v>
      </c>
      <c r="K96" s="163" t="s">
        <v>0</v>
      </c>
      <c r="L96" s="163" t="s">
        <v>0</v>
      </c>
      <c r="M96" s="163" t="s">
        <v>0</v>
      </c>
      <c r="N96" s="163" t="s">
        <v>0</v>
      </c>
      <c r="O96" s="9">
        <v>2</v>
      </c>
      <c r="P96" s="9">
        <v>2</v>
      </c>
      <c r="Q96" s="9">
        <v>2</v>
      </c>
    </row>
    <row r="97" spans="1:17" ht="12.75">
      <c r="A97" s="49"/>
      <c r="B97" s="166" t="s">
        <v>0</v>
      </c>
      <c r="C97" s="166" t="s">
        <v>0</v>
      </c>
      <c r="D97" s="166" t="s">
        <v>0</v>
      </c>
      <c r="E97" s="166" t="s">
        <v>0</v>
      </c>
      <c r="F97" s="166" t="s">
        <v>0</v>
      </c>
      <c r="G97" s="166" t="s">
        <v>0</v>
      </c>
      <c r="H97" s="166" t="s">
        <v>0</v>
      </c>
      <c r="I97" s="166" t="s">
        <v>0</v>
      </c>
      <c r="J97" s="166" t="s">
        <v>0</v>
      </c>
      <c r="K97" s="166" t="s">
        <v>0</v>
      </c>
      <c r="L97" s="166" t="s">
        <v>0</v>
      </c>
      <c r="M97" s="166" t="s">
        <v>0</v>
      </c>
      <c r="N97" s="166" t="s">
        <v>0</v>
      </c>
      <c r="O97" s="10">
        <v>3</v>
      </c>
      <c r="P97" s="10">
        <v>3</v>
      </c>
      <c r="Q97" s="10">
        <v>3</v>
      </c>
    </row>
  </sheetData>
  <sheetProtection password="DFED" sheet="1" objects="1" scenarios="1"/>
  <printOptions/>
  <pageMargins left="0.75" right="0.75" top="1" bottom="1" header="0.5" footer="0.5"/>
  <pageSetup fitToHeight="1" fitToWidth="1" horizontalDpi="600" verticalDpi="600" orientation="portrait" paperSize="9" scale="48" r:id="rId1"/>
  <headerFooter alignWithMargins="0">
    <oddHeader>&amp;C&amp;A</oddHeader>
    <oddFooter>&amp;LPage &amp;P of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ALSTOM T&amp;D P&amp;C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Wright</dc:creator>
  <cp:keywords/>
  <dc:description/>
  <cp:lastModifiedBy>K</cp:lastModifiedBy>
  <cp:lastPrinted>2011-11-17T12:16:10Z</cp:lastPrinted>
  <dcterms:created xsi:type="dcterms:W3CDTF">2001-03-13T08:35:30Z</dcterms:created>
  <dcterms:modified xsi:type="dcterms:W3CDTF">2017-02-28T08:12:58Z</dcterms:modified>
  <cp:category/>
  <cp:version/>
  <cp:contentType/>
  <cp:contentStatus/>
</cp:coreProperties>
</file>