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45" windowHeight="9285" tabRatio="668" activeTab="0"/>
  </bookViews>
  <sheets>
    <sheet name="Cortec" sheetId="1" r:id="rId1"/>
    <sheet name="Configurator" sheetId="2" r:id="rId2"/>
    <sheet name="Master Text" sheetId="3" r:id="rId3"/>
    <sheet name="Database" sheetId="4" state="hidden" r:id="rId4"/>
    <sheet name="Tendering" sheetId="5" r:id="rId5"/>
    <sheet name="Date Drivers" sheetId="6" state="hidden" r:id="rId6"/>
  </sheets>
  <definedNames>
    <definedName name="Contacts">#REF!</definedName>
    <definedName name="Input_Area">#REF!,#REF!,#REF!,#REF!</definedName>
    <definedName name="Input_Area1" localSheetId="2">#REF!,#REF!,#REF!,#REF!,#REF!,#REF!,#REF!,#REF!</definedName>
    <definedName name="Input_Area1">#REF!,#REF!,#REF!,#REF!,#REF!,#REF!,#REF!,#REF!</definedName>
    <definedName name="Input_Area2" localSheetId="2">#REF!,#REF!,#REF!,#REF!</definedName>
    <definedName name="Input_Area2">#REF!,#REF!,#REF!,#REF!</definedName>
    <definedName name="Nomenclature" localSheetId="2">#REF!:#REF!</definedName>
    <definedName name="Nomenclature">#REF!:#REF!</definedName>
    <definedName name="_xlnm.Print_Area" localSheetId="2">'Master Text'!$A$1:$A$6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<sst xmlns="http://schemas.openxmlformats.org/spreadsheetml/2006/main" count="378" uniqueCount="169">
  <si>
    <t xml:space="preserve"> </t>
  </si>
  <si>
    <t>A</t>
  </si>
  <si>
    <t>B</t>
  </si>
  <si>
    <t>C</t>
  </si>
  <si>
    <t>*</t>
  </si>
  <si>
    <t>M</t>
  </si>
  <si>
    <t>24 - 60 Vdc</t>
  </si>
  <si>
    <t>48 - 150 Vdc</t>
  </si>
  <si>
    <t>130 - 250 Vdc / 110 - 250 Vac</t>
  </si>
  <si>
    <t>MODBUS</t>
  </si>
  <si>
    <t>French</t>
  </si>
  <si>
    <t>Spanish</t>
  </si>
  <si>
    <t>Polish</t>
  </si>
  <si>
    <t>German</t>
  </si>
  <si>
    <t>Russian</t>
  </si>
  <si>
    <t>F</t>
  </si>
  <si>
    <t>H</t>
  </si>
  <si>
    <t>Hardware Version</t>
  </si>
  <si>
    <t>Auxiliary Voltage</t>
  </si>
  <si>
    <t>48 - 250 Vdc / 48 - 240 Vac</t>
  </si>
  <si>
    <t>Digital Input Voltage</t>
  </si>
  <si>
    <t>V</t>
  </si>
  <si>
    <t>W</t>
  </si>
  <si>
    <t>Communication</t>
  </si>
  <si>
    <t>IEC60870-5-103</t>
  </si>
  <si>
    <t>Digital Input Voltage Table (driven by phase and auxiliary voltage)</t>
  </si>
  <si>
    <t>D</t>
  </si>
  <si>
    <t>Software Version</t>
  </si>
  <si>
    <t>Options available are derived from the last version available with the specified hardware version ( i.e. using this date --------------&gt;)</t>
  </si>
  <si>
    <t>12</t>
  </si>
  <si>
    <t>13</t>
  </si>
  <si>
    <t>E</t>
  </si>
  <si>
    <t>English / American</t>
  </si>
  <si>
    <t>24 - 250 Vdc / 24 - 240 Vac</t>
  </si>
  <si>
    <t>Chinese</t>
  </si>
  <si>
    <t>Latest software version</t>
  </si>
  <si>
    <t>Z</t>
  </si>
  <si>
    <t>14</t>
  </si>
  <si>
    <t>0.002-1 Ion</t>
  </si>
  <si>
    <t>110 Vdc -30%/ +20%</t>
  </si>
  <si>
    <t>220 Vdc -30%/ +20%</t>
  </si>
  <si>
    <t>HMI : P521</t>
  </si>
  <si>
    <t>P521</t>
  </si>
  <si>
    <t>Mounting option</t>
  </si>
  <si>
    <t>None (default)</t>
  </si>
  <si>
    <t>Pre-fixed HMI (no withdrawability)</t>
  </si>
  <si>
    <t>Sealed cover</t>
  </si>
  <si>
    <t>Pre-fixed HMI + Sealed cover</t>
  </si>
  <si>
    <t>105 - 145 Vdc</t>
  </si>
  <si>
    <t>110 Vdc - 30% / +20%</t>
  </si>
  <si>
    <t>220 Vdc - 30% / +20%</t>
  </si>
  <si>
    <t>V10.</t>
  </si>
  <si>
    <t>P220</t>
  </si>
  <si>
    <t>None</t>
  </si>
  <si>
    <t>1-4</t>
  </si>
  <si>
    <t>K-BUS/COURIER</t>
  </si>
  <si>
    <t>English</t>
  </si>
  <si>
    <t>Dutch</t>
  </si>
  <si>
    <t>Czech</t>
  </si>
  <si>
    <t xml:space="preserve">Major </t>
  </si>
  <si>
    <t>Minor</t>
  </si>
  <si>
    <t xml:space="preserve">Optional Temperature </t>
  </si>
  <si>
    <t>Monitoring :</t>
  </si>
  <si>
    <t>No</t>
  </si>
  <si>
    <t>2 thermistors monitoring</t>
  </si>
  <si>
    <t>6 RTDs monitoring</t>
  </si>
  <si>
    <t>Optional analogue outputs :</t>
  </si>
  <si>
    <t>Optional Analogue Output</t>
  </si>
  <si>
    <t>Optional Analogue Outputs</t>
  </si>
  <si>
    <t>2 analogue outputs</t>
  </si>
  <si>
    <t>1 analogue output</t>
  </si>
  <si>
    <t>V6.F</t>
  </si>
  <si>
    <t>24 - 250 Vdc / 48 - 240 Vac</t>
  </si>
  <si>
    <t>Phase 1, shallow depth</t>
  </si>
  <si>
    <t>Phase 2, deep depth</t>
  </si>
  <si>
    <t>Phase 2 with graphical display, deep depth</t>
  </si>
  <si>
    <t>Phase 1</t>
  </si>
  <si>
    <t xml:space="preserve">  0.002 - 1 x Nominal Earth Current</t>
  </si>
  <si>
    <t>V10.C</t>
  </si>
  <si>
    <t>SE look&amp;feel Phase 2</t>
  </si>
  <si>
    <t>**</t>
  </si>
  <si>
    <t>MiCOM P220</t>
  </si>
  <si>
    <t>V11.</t>
  </si>
  <si>
    <t>V11.A</t>
  </si>
  <si>
    <t>Cortec Landing cell :</t>
  </si>
  <si>
    <t>Configurator feedback :</t>
  </si>
  <si>
    <t>double digit in same row</t>
  </si>
  <si>
    <t>Cortec digit control 1</t>
  </si>
  <si>
    <t>P</t>
  </si>
  <si>
    <t>Cortec digit control 2</t>
  </si>
  <si>
    <t>Cortec digit control 3</t>
  </si>
  <si>
    <t>Cortec digit control 4</t>
  </si>
  <si>
    <t>$B$11</t>
  </si>
  <si>
    <t>$B$17</t>
  </si>
  <si>
    <t>$B$22</t>
  </si>
  <si>
    <t>$B$27</t>
  </si>
  <si>
    <t>$B$33</t>
  </si>
  <si>
    <t>$B$51</t>
  </si>
  <si>
    <t>$B$64</t>
  </si>
  <si>
    <t>$B$70</t>
  </si>
  <si>
    <t>Форма заказа</t>
  </si>
  <si>
    <t>Готовые к использованию конфигурации</t>
  </si>
  <si>
    <t>P220 Защита двигателя</t>
  </si>
  <si>
    <t>Токовый вход для ТТНП:</t>
  </si>
  <si>
    <t>Входное напряжение:</t>
  </si>
  <si>
    <t>Нет</t>
  </si>
  <si>
    <t>Тип монтажа:</t>
  </si>
  <si>
    <t>Нет (по умолчанию)</t>
  </si>
  <si>
    <t>Встроенный ЧМЭ (несъемный)</t>
  </si>
  <si>
    <t>Герметичная крышка для защиты доступа к передней панели</t>
  </si>
  <si>
    <t>Встроенный ЧМЭ +  герметичная крышка для защиты доступа к передней панели</t>
  </si>
  <si>
    <t>Напряжение питания</t>
  </si>
  <si>
    <t>Диапазон работы оптовходов</t>
  </si>
  <si>
    <t xml:space="preserve">Протокол связи: </t>
  </si>
  <si>
    <t>Modbus / Modbus ( если 2й порт RS485 доступен)</t>
  </si>
  <si>
    <t>K-Bus / Courier / Modbus (если 2й порт RS485 доступен)</t>
  </si>
  <si>
    <t>IEC60870-5-103 / Modbus (если 2й порт RS485 доступен)</t>
  </si>
  <si>
    <t>IEC60870-5-103 / IEC60870-5-103 (если 2й порт RS485 доступен)</t>
  </si>
  <si>
    <t>Язык:</t>
  </si>
  <si>
    <t>Платформа</t>
  </si>
  <si>
    <t>Французский</t>
  </si>
  <si>
    <t>Английский</t>
  </si>
  <si>
    <t>Испанский</t>
  </si>
  <si>
    <t>Немецкий</t>
  </si>
  <si>
    <r>
      <t xml:space="preserve">Итальянский </t>
    </r>
    <r>
      <rPr>
        <vertAlign val="superscript"/>
        <sz val="10"/>
        <color indexed="8"/>
        <rFont val="Arial"/>
        <family val="2"/>
      </rPr>
      <t>1)</t>
    </r>
  </si>
  <si>
    <t>Русский</t>
  </si>
  <si>
    <t>Польский</t>
  </si>
  <si>
    <t>Португальский</t>
  </si>
  <si>
    <r>
      <t xml:space="preserve">Английский (американский) </t>
    </r>
    <r>
      <rPr>
        <vertAlign val="superscript"/>
        <sz val="10"/>
        <color indexed="8"/>
        <rFont val="Arial"/>
        <family val="2"/>
      </rPr>
      <t>1)</t>
    </r>
  </si>
  <si>
    <t>Чешский</t>
  </si>
  <si>
    <r>
      <t xml:space="preserve">Венгерский </t>
    </r>
    <r>
      <rPr>
        <vertAlign val="superscript"/>
        <sz val="10"/>
        <color indexed="8"/>
        <rFont val="Arial"/>
        <family val="2"/>
      </rPr>
      <t>1)</t>
    </r>
  </si>
  <si>
    <r>
      <t xml:space="preserve">Греческий </t>
    </r>
    <r>
      <rPr>
        <vertAlign val="superscript"/>
        <sz val="10"/>
        <color indexed="8"/>
        <rFont val="Arial"/>
        <family val="2"/>
      </rPr>
      <t>1)</t>
    </r>
  </si>
  <si>
    <t>Китайский</t>
  </si>
  <si>
    <t>только 3</t>
  </si>
  <si>
    <r>
      <t>Турецкий</t>
    </r>
    <r>
      <rPr>
        <vertAlign val="superscript"/>
        <sz val="10"/>
        <color indexed="8"/>
        <rFont val="Arial"/>
        <family val="2"/>
      </rPr>
      <t>1)</t>
    </r>
  </si>
  <si>
    <t>Платформа:</t>
  </si>
  <si>
    <t>SE look&amp;feel Phase 2 с большим ЖК-дисплеем</t>
  </si>
  <si>
    <t>Функция: Температура / IRIG-B + Порт безопасности + 5 DI</t>
  </si>
  <si>
    <t>плата IRIG-B / Порт безопасности / 5 DI</t>
  </si>
  <si>
    <t>Контроль 2-х термисторов</t>
  </si>
  <si>
    <t>Контроль 6-ти RTD</t>
  </si>
  <si>
    <t>Дополнительный вход(-ы):</t>
  </si>
  <si>
    <t>2 аналоговых выхода</t>
  </si>
  <si>
    <t>Программное обеспечение:</t>
  </si>
  <si>
    <t>ПРИМЕЧАНИЯ:</t>
  </si>
  <si>
    <r>
      <t>1)</t>
    </r>
    <r>
      <rPr>
        <sz val="10"/>
        <color indexed="8"/>
        <rFont val="Arial"/>
        <family val="2"/>
      </rPr>
      <t xml:space="preserve"> Еще недоступно</t>
    </r>
  </si>
  <si>
    <t>P220C01Z11202AC</t>
  </si>
  <si>
    <t>Идентификационный код устройства в SAP</t>
  </si>
  <si>
    <t>0.002 - 1 x Ion</t>
  </si>
  <si>
    <t>Напряжение питания  /  Диапазон работы оптовходов</t>
  </si>
  <si>
    <t>Modbus / Modbus (если 2й порт RS485 доступен)</t>
  </si>
  <si>
    <t>Italian : недоступно для заказа</t>
  </si>
  <si>
    <t>American : недоступно для заказа</t>
  </si>
  <si>
    <t>Hungarian : недоступно для заказа</t>
  </si>
  <si>
    <t>Greek : недоступно для заказа</t>
  </si>
  <si>
    <t>Turkish : недоступно для заказа</t>
  </si>
  <si>
    <t>Portuguese : недоступно для заказа</t>
  </si>
  <si>
    <t>Chinese : недоступно для заказа</t>
  </si>
  <si>
    <t>Итальянский : недоступно для заказа</t>
  </si>
  <si>
    <t>Английский (американский) : недоступно для заказа</t>
  </si>
  <si>
    <t>Венгерский : недоступно для заказа</t>
  </si>
  <si>
    <t>Греческий : недоступно для заказа</t>
  </si>
  <si>
    <t>Турецкий : недоступно для заказа</t>
  </si>
  <si>
    <t>Программное обеспечение: V11.A</t>
  </si>
  <si>
    <t>Программное обеспечение: V10.C</t>
  </si>
  <si>
    <t>Программное обеспечение: V11.C</t>
  </si>
  <si>
    <t>V11.C</t>
  </si>
  <si>
    <t>Голландский : недоступно для заказа</t>
  </si>
  <si>
    <r>
      <t xml:space="preserve">Голландский </t>
    </r>
    <r>
      <rPr>
        <vertAlign val="superscript"/>
        <sz val="10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</si>
</sst>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000"/>
    <numFmt numFmtId="197" formatCode="#0,000"/>
    <numFmt numFmtId="198" formatCode="0.000"/>
    <numFmt numFmtId="199" formatCode="00"/>
    <numFmt numFmtId="200" formatCode="0.0"/>
    <numFmt numFmtId="201" formatCode=";;;"/>
    <numFmt numFmtId="202" formatCode="000"/>
    <numFmt numFmtId="203" formatCode="00.0"/>
    <numFmt numFmtId="204" formatCode="###############"/>
    <numFmt numFmtId="205" formatCode="000000000000000"/>
    <numFmt numFmtId="206" formatCode="00000"/>
    <numFmt numFmtId="207" formatCode="\'0000"/>
    <numFmt numFmtId="208" formatCode="0###"/>
    <numFmt numFmtId="209" formatCode="mm/dd/yy"/>
    <numFmt numFmtId="210" formatCode="[$-809]dd\ mmmm\ yyyy"/>
    <numFmt numFmtId="211" formatCode="dd/mm/yy;@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76">
    <font>
      <sz val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4"/>
      <color indexed="17"/>
      <name val="Arial"/>
      <family val="2"/>
    </font>
    <font>
      <b/>
      <sz val="13.5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57"/>
      <name val="SEOptimist"/>
      <family val="3"/>
    </font>
    <font>
      <sz val="18"/>
      <name val="SEOptimistBlack"/>
      <family val="3"/>
    </font>
    <font>
      <sz val="14"/>
      <name val="SEOptimist"/>
      <family val="3"/>
    </font>
    <font>
      <sz val="10"/>
      <name val="SEOptimist"/>
      <family val="3"/>
    </font>
    <font>
      <b/>
      <sz val="11"/>
      <color indexed="17"/>
      <name val="SEOptimist"/>
      <family val="3"/>
    </font>
    <font>
      <sz val="11"/>
      <color indexed="17"/>
      <name val="Arial"/>
      <family val="2"/>
    </font>
    <font>
      <sz val="11"/>
      <color indexed="22"/>
      <name val="Arial"/>
      <family val="2"/>
    </font>
    <font>
      <b/>
      <sz val="14"/>
      <color indexed="9"/>
      <name val="SEOptimist"/>
      <family val="3"/>
    </font>
    <font>
      <sz val="14"/>
      <color indexed="9"/>
      <name val="SEOptimist"/>
      <family val="3"/>
    </font>
    <font>
      <b/>
      <sz val="11"/>
      <color indexed="17"/>
      <name val="Arial"/>
      <family val="2"/>
    </font>
    <font>
      <b/>
      <sz val="10"/>
      <color indexed="17"/>
      <name val="SEOptimist"/>
      <family val="3"/>
    </font>
    <font>
      <vertAlign val="superscript"/>
      <sz val="10"/>
      <color indexed="8"/>
      <name val="Arial"/>
      <family val="2"/>
    </font>
    <font>
      <sz val="6"/>
      <name val="Arial"/>
      <family val="2"/>
    </font>
    <font>
      <b/>
      <sz val="12"/>
      <color indexed="17"/>
      <name val="SEOptimis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9" fillId="0" borderId="15" xfId="0" applyFont="1" applyBorder="1" applyAlignment="1" quotePrefix="1">
      <alignment horizontal="center" vertic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9" fillId="0" borderId="16" xfId="0" applyFont="1" applyBorder="1" applyAlignment="1" quotePrefix="1">
      <alignment horizontal="center" vertical="center"/>
    </xf>
    <xf numFmtId="0" fontId="9" fillId="0" borderId="16" xfId="0" applyFont="1" applyBorder="1" applyAlignment="1">
      <alignment horizontal="center" vertical="center"/>
    </xf>
    <xf numFmtId="211" fontId="7" fillId="0" borderId="11" xfId="0" applyNumberFormat="1" applyFont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33" borderId="1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2" xfId="0" applyBorder="1" applyAlignment="1">
      <alignment horizontal="center" wrapText="1"/>
    </xf>
    <xf numFmtId="0" fontId="0" fillId="34" borderId="21" xfId="0" applyFill="1" applyBorder="1" applyAlignment="1" quotePrefix="1">
      <alignment/>
    </xf>
    <xf numFmtId="1" fontId="2" fillId="0" borderId="22" xfId="0" applyNumberFormat="1" applyFont="1" applyBorder="1" applyAlignment="1">
      <alignment horizontal="center" vertical="center"/>
    </xf>
    <xf numFmtId="208" fontId="2" fillId="0" borderId="22" xfId="0" applyNumberFormat="1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34" borderId="20" xfId="0" applyFill="1" applyBorder="1" applyAlignment="1" applyProtection="1" quotePrefix="1">
      <alignment horizontal="center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23" xfId="0" applyFill="1" applyBorder="1" applyAlignment="1" quotePrefix="1">
      <alignment/>
    </xf>
    <xf numFmtId="0" fontId="0" fillId="34" borderId="0" xfId="0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0" fillId="34" borderId="0" xfId="0" applyFill="1" applyBorder="1" applyAlignment="1" applyProtection="1" quotePrefix="1">
      <alignment horizontal="center"/>
      <protection locked="0"/>
    </xf>
    <xf numFmtId="0" fontId="1" fillId="34" borderId="0" xfId="0" applyFont="1" applyFill="1" applyBorder="1" applyAlignment="1">
      <alignment horizontal="center"/>
    </xf>
    <xf numFmtId="0" fontId="5" fillId="0" borderId="10" xfId="0" applyFont="1" applyFill="1" applyBorder="1" applyAlignment="1" applyProtection="1" quotePrefix="1">
      <alignment horizontal="center"/>
      <protection locked="0"/>
    </xf>
    <xf numFmtId="0" fontId="0" fillId="34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14" fontId="10" fillId="0" borderId="19" xfId="0" applyNumberFormat="1" applyFont="1" applyBorder="1" applyAlignment="1">
      <alignment horizontal="center"/>
    </xf>
    <xf numFmtId="14" fontId="10" fillId="0" borderId="25" xfId="0" applyNumberFormat="1" applyFont="1" applyBorder="1" applyAlignment="1">
      <alignment horizontal="center"/>
    </xf>
    <xf numFmtId="0" fontId="1" fillId="34" borderId="26" xfId="0" applyFont="1" applyFill="1" applyBorder="1" applyAlignment="1" quotePrefix="1">
      <alignment/>
    </xf>
    <xf numFmtId="1" fontId="0" fillId="0" borderId="11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4" fillId="0" borderId="21" xfId="0" applyFont="1" applyFill="1" applyBorder="1" applyAlignment="1" quotePrefix="1">
      <alignment horizontal="center"/>
    </xf>
    <xf numFmtId="0" fontId="14" fillId="0" borderId="28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4" fillId="0" borderId="27" xfId="0" applyFont="1" applyFill="1" applyBorder="1" applyAlignment="1" quotePrefix="1">
      <alignment horizontal="center"/>
    </xf>
    <xf numFmtId="0" fontId="17" fillId="34" borderId="27" xfId="0" applyFont="1" applyFill="1" applyBorder="1" applyAlignment="1">
      <alignment horizontal="left"/>
    </xf>
    <xf numFmtId="0" fontId="17" fillId="34" borderId="21" xfId="0" applyFont="1" applyFill="1" applyBorder="1" applyAlignment="1">
      <alignment horizontal="left"/>
    </xf>
    <xf numFmtId="0" fontId="1" fillId="0" borderId="28" xfId="0" applyFont="1" applyFill="1" applyBorder="1" applyAlignment="1" quotePrefix="1">
      <alignment horizontal="center"/>
    </xf>
    <xf numFmtId="0" fontId="0" fillId="0" borderId="13" xfId="0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/>
    </xf>
    <xf numFmtId="0" fontId="0" fillId="34" borderId="26" xfId="0" applyFill="1" applyBorder="1" applyAlignment="1" quotePrefix="1">
      <alignment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0" fillId="0" borderId="19" xfId="0" applyFill="1" applyBorder="1" applyAlignment="1" quotePrefix="1">
      <alignment horizontal="center"/>
    </xf>
    <xf numFmtId="0" fontId="0" fillId="0" borderId="24" xfId="0" applyFill="1" applyBorder="1" applyAlignment="1" quotePrefix="1">
      <alignment horizontal="center"/>
    </xf>
    <xf numFmtId="0" fontId="0" fillId="0" borderId="23" xfId="0" applyFill="1" applyBorder="1" applyAlignment="1" quotePrefix="1">
      <alignment horizontal="center"/>
    </xf>
    <xf numFmtId="14" fontId="1" fillId="0" borderId="13" xfId="0" applyNumberFormat="1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quotePrefix="1">
      <alignment horizontal="center" vertical="center"/>
    </xf>
    <xf numFmtId="0" fontId="4" fillId="34" borderId="0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4" fillId="34" borderId="18" xfId="0" applyFont="1" applyFill="1" applyBorder="1" applyAlignment="1" quotePrefix="1">
      <alignment horizontal="center" vertical="center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0" fillId="0" borderId="20" xfId="0" applyFill="1" applyBorder="1" applyAlignment="1" quotePrefix="1">
      <alignment horizontal="center"/>
    </xf>
    <xf numFmtId="0" fontId="3" fillId="0" borderId="17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34" borderId="10" xfId="0" applyFill="1" applyBorder="1" applyAlignment="1" quotePrefix="1">
      <alignment horizontal="center"/>
    </xf>
    <xf numFmtId="0" fontId="0" fillId="34" borderId="13" xfId="0" applyFill="1" applyBorder="1" applyAlignment="1" quotePrefix="1">
      <alignment horizontal="center"/>
    </xf>
    <xf numFmtId="0" fontId="0" fillId="34" borderId="12" xfId="0" applyFill="1" applyBorder="1" applyAlignment="1" quotePrefix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0" fillId="0" borderId="0" xfId="36" applyFont="1" applyFill="1" applyBorder="1">
      <alignment/>
      <protection/>
    </xf>
    <xf numFmtId="0" fontId="2" fillId="0" borderId="30" xfId="0" applyFont="1" applyBorder="1" applyAlignment="1">
      <alignment horizontal="left"/>
    </xf>
    <xf numFmtId="0" fontId="13" fillId="0" borderId="10" xfId="36" applyFont="1" applyFill="1" applyBorder="1" applyAlignment="1">
      <alignment horizontal="left"/>
      <protection/>
    </xf>
    <xf numFmtId="0" fontId="13" fillId="0" borderId="12" xfId="36" applyFont="1" applyFill="1" applyBorder="1" applyAlignment="1">
      <alignment horizontal="left"/>
      <protection/>
    </xf>
    <xf numFmtId="0" fontId="6" fillId="0" borderId="24" xfId="0" applyFont="1" applyBorder="1" applyAlignment="1">
      <alignment/>
    </xf>
    <xf numFmtId="0" fontId="4" fillId="35" borderId="12" xfId="0" applyFont="1" applyFill="1" applyBorder="1" applyAlignment="1" quotePrefix="1">
      <alignment horizontal="center" vertical="center"/>
    </xf>
    <xf numFmtId="0" fontId="4" fillId="35" borderId="0" xfId="0" applyFont="1" applyFill="1" applyBorder="1" applyAlignment="1" quotePrefix="1">
      <alignment horizontal="center" vertical="center"/>
    </xf>
    <xf numFmtId="0" fontId="1" fillId="34" borderId="0" xfId="0" applyFont="1" applyFill="1" applyBorder="1" applyAlignment="1" quotePrefix="1">
      <alignment horizontal="center"/>
    </xf>
    <xf numFmtId="14" fontId="0" fillId="34" borderId="13" xfId="0" applyNumberForma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34" borderId="0" xfId="0" applyFont="1" applyFill="1" applyBorder="1" applyAlignment="1" quotePrefix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4" fillId="34" borderId="0" xfId="0" applyFont="1" applyFill="1" applyBorder="1" applyAlignment="1" quotePrefix="1">
      <alignment horizontal="center"/>
    </xf>
    <xf numFmtId="0" fontId="0" fillId="34" borderId="10" xfId="0" applyFill="1" applyBorder="1" applyAlignment="1" applyProtection="1" quotePrefix="1">
      <alignment horizontal="center"/>
      <protection locked="0"/>
    </xf>
    <xf numFmtId="14" fontId="0" fillId="34" borderId="13" xfId="0" applyNumberFormat="1" applyFont="1" applyFill="1" applyBorder="1" applyAlignment="1" quotePrefix="1">
      <alignment horizontal="center"/>
    </xf>
    <xf numFmtId="14" fontId="0" fillId="34" borderId="12" xfId="0" applyNumberFormat="1" applyFill="1" applyBorder="1" applyAlignment="1" quotePrefix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34" borderId="0" xfId="0" applyFill="1" applyBorder="1" applyAlignment="1" quotePrefix="1">
      <alignment/>
    </xf>
    <xf numFmtId="0" fontId="19" fillId="0" borderId="17" xfId="0" applyFont="1" applyBorder="1" applyAlignment="1">
      <alignment horizontal="left"/>
    </xf>
    <xf numFmtId="0" fontId="4" fillId="34" borderId="18" xfId="0" applyFont="1" applyFill="1" applyBorder="1" applyAlignment="1">
      <alignment horizontal="center" vertical="center"/>
    </xf>
    <xf numFmtId="0" fontId="13" fillId="34" borderId="12" xfId="36" applyFont="1" applyFill="1" applyBorder="1" applyAlignment="1" quotePrefix="1">
      <alignment horizontal="left"/>
      <protection/>
    </xf>
    <xf numFmtId="0" fontId="13" fillId="34" borderId="13" xfId="36" applyFont="1" applyFill="1" applyBorder="1" applyAlignment="1" quotePrefix="1">
      <alignment horizontal="left"/>
      <protection/>
    </xf>
    <xf numFmtId="0" fontId="13" fillId="0" borderId="13" xfId="36" applyFont="1" applyFill="1" applyBorder="1" applyAlignment="1">
      <alignment horizontal="left"/>
      <protection/>
    </xf>
    <xf numFmtId="0" fontId="0" fillId="0" borderId="13" xfId="0" applyFill="1" applyBorder="1" applyAlignment="1">
      <alignment horizontal="left" wrapText="1"/>
    </xf>
    <xf numFmtId="1" fontId="0" fillId="34" borderId="0" xfId="0" applyNumberForma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6" fillId="0" borderId="29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34" borderId="12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/>
    </xf>
    <xf numFmtId="0" fontId="24" fillId="0" borderId="3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1" fontId="23" fillId="0" borderId="27" xfId="0" applyNumberFormat="1" applyFont="1" applyBorder="1" applyAlignment="1">
      <alignment horizontal="left" vertical="center"/>
    </xf>
    <xf numFmtId="1" fontId="25" fillId="0" borderId="21" xfId="0" applyNumberFormat="1" applyFont="1" applyBorder="1" applyAlignment="1">
      <alignment horizontal="center" vertical="center"/>
    </xf>
    <xf numFmtId="1" fontId="25" fillId="0" borderId="21" xfId="0" applyNumberFormat="1" applyFont="1" applyBorder="1" applyAlignment="1" quotePrefix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25" fillId="0" borderId="2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3" fillId="0" borderId="23" xfId="0" applyFont="1" applyBorder="1" applyAlignment="1">
      <alignment wrapText="1"/>
    </xf>
    <xf numFmtId="0" fontId="0" fillId="0" borderId="0" xfId="35" applyFont="1" applyBorder="1">
      <alignment/>
      <protection/>
    </xf>
    <xf numFmtId="0" fontId="26" fillId="0" borderId="0" xfId="35" applyFont="1" applyBorder="1">
      <alignment/>
      <protection/>
    </xf>
    <xf numFmtId="0" fontId="13" fillId="0" borderId="0" xfId="35" applyFont="1" applyBorder="1">
      <alignment/>
      <protection/>
    </xf>
    <xf numFmtId="0" fontId="14" fillId="0" borderId="0" xfId="0" applyFont="1" applyFill="1" applyBorder="1" applyAlignment="1">
      <alignment horizontal="left"/>
    </xf>
    <xf numFmtId="0" fontId="16" fillId="0" borderId="0" xfId="35" applyFont="1" applyBorder="1">
      <alignment/>
      <protection/>
    </xf>
    <xf numFmtId="0" fontId="9" fillId="0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 quotePrefix="1">
      <alignment horizontal="center" vertical="center"/>
    </xf>
    <xf numFmtId="1" fontId="23" fillId="0" borderId="22" xfId="0" applyNumberFormat="1" applyFont="1" applyBorder="1" applyAlignment="1">
      <alignment horizontal="center" vertical="center"/>
    </xf>
    <xf numFmtId="1" fontId="23" fillId="0" borderId="22" xfId="0" applyNumberFormat="1" applyFont="1" applyBorder="1" applyAlignment="1" quotePrefix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8" fillId="33" borderId="3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27" fillId="0" borderId="0" xfId="0" applyNumberFormat="1" applyFont="1" applyAlignment="1">
      <alignment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3" fillId="33" borderId="38" xfId="0" applyFont="1" applyFill="1" applyBorder="1" applyAlignment="1">
      <alignment/>
    </xf>
    <xf numFmtId="0" fontId="9" fillId="0" borderId="15" xfId="0" applyFont="1" applyBorder="1" applyAlignment="1" quotePrefix="1">
      <alignment horizontal="right" vertical="center"/>
    </xf>
    <xf numFmtId="0" fontId="0" fillId="0" borderId="25" xfId="0" applyFont="1" applyBorder="1" applyAlignment="1">
      <alignment/>
    </xf>
    <xf numFmtId="49" fontId="0" fillId="0" borderId="0" xfId="0" applyNumberFormat="1" applyAlignment="1">
      <alignment vertical="top"/>
    </xf>
    <xf numFmtId="0" fontId="3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/>
    </xf>
    <xf numFmtId="0" fontId="33" fillId="34" borderId="0" xfId="0" applyFont="1" applyFill="1" applyBorder="1" applyAlignment="1">
      <alignment/>
    </xf>
    <xf numFmtId="196" fontId="16" fillId="34" borderId="0" xfId="0" applyNumberFormat="1" applyFont="1" applyFill="1" applyBorder="1" applyAlignment="1" quotePrefix="1">
      <alignment horizontal="center"/>
    </xf>
    <xf numFmtId="196" fontId="16" fillId="35" borderId="0" xfId="0" applyNumberFormat="1" applyFont="1" applyFill="1" applyBorder="1" applyAlignment="1" quotePrefix="1">
      <alignment horizontal="center"/>
    </xf>
    <xf numFmtId="0" fontId="33" fillId="34" borderId="0" xfId="0" applyFont="1" applyFill="1" applyBorder="1" applyAlignment="1">
      <alignment horizontal="center"/>
    </xf>
    <xf numFmtId="0" fontId="32" fillId="35" borderId="0" xfId="0" applyFont="1" applyFill="1" applyBorder="1" applyAlignment="1">
      <alignment horizontal="center"/>
    </xf>
    <xf numFmtId="0" fontId="34" fillId="36" borderId="39" xfId="36" applyFont="1" applyFill="1" applyBorder="1">
      <alignment/>
      <protection/>
    </xf>
    <xf numFmtId="0" fontId="35" fillId="36" borderId="39" xfId="0" applyFont="1" applyFill="1" applyBorder="1" applyAlignment="1">
      <alignment horizontal="center"/>
    </xf>
    <xf numFmtId="0" fontId="35" fillId="36" borderId="39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196" fontId="16" fillId="0" borderId="26" xfId="0" applyNumberFormat="1" applyFont="1" applyFill="1" applyBorder="1" applyAlignment="1" quotePrefix="1">
      <alignment horizontal="center"/>
    </xf>
    <xf numFmtId="0" fontId="37" fillId="0" borderId="0" xfId="0" applyFont="1" applyFill="1" applyBorder="1" applyAlignment="1">
      <alignment horizontal="left" wrapText="1"/>
    </xf>
    <xf numFmtId="0" fontId="0" fillId="0" borderId="26" xfId="36" applyFont="1" applyFill="1" applyBorder="1" applyAlignment="1">
      <alignment horizontal="left"/>
      <protection/>
    </xf>
    <xf numFmtId="0" fontId="0" fillId="0" borderId="21" xfId="36" applyFont="1" applyFill="1" applyBorder="1" applyAlignment="1">
      <alignment horizontal="left"/>
      <protection/>
    </xf>
    <xf numFmtId="0" fontId="0" fillId="0" borderId="26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1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7" fillId="0" borderId="25" xfId="0" applyFont="1" applyFill="1" applyBorder="1" applyAlignment="1">
      <alignment horizontal="left" wrapText="1"/>
    </xf>
    <xf numFmtId="196" fontId="8" fillId="34" borderId="24" xfId="0" applyNumberFormat="1" applyFont="1" applyFill="1" applyBorder="1" applyAlignment="1">
      <alignment horizontal="center" vertical="center"/>
    </xf>
    <xf numFmtId="196" fontId="4" fillId="34" borderId="18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/>
    </xf>
    <xf numFmtId="196" fontId="8" fillId="35" borderId="24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196" fontId="4" fillId="35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2" fillId="34" borderId="26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1" fontId="4" fillId="34" borderId="24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>
      <alignment horizontal="center"/>
    </xf>
    <xf numFmtId="0" fontId="2" fillId="35" borderId="12" xfId="0" applyFont="1" applyFill="1" applyBorder="1" applyAlignment="1" quotePrefix="1">
      <alignment horizontal="center"/>
    </xf>
    <xf numFmtId="0" fontId="0" fillId="35" borderId="12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1" fontId="5" fillId="35" borderId="18" xfId="0" applyNumberFormat="1" applyFont="1" applyFill="1" applyBorder="1" applyAlignment="1">
      <alignment vertical="center" wrapText="1"/>
    </xf>
    <xf numFmtId="1" fontId="5" fillId="35" borderId="29" xfId="0" applyNumberFormat="1" applyFont="1" applyFill="1" applyBorder="1" applyAlignment="1">
      <alignment vertical="center" wrapText="1"/>
    </xf>
    <xf numFmtId="0" fontId="4" fillId="35" borderId="24" xfId="0" applyFont="1" applyFill="1" applyBorder="1" applyAlignment="1">
      <alignment horizontal="center"/>
    </xf>
    <xf numFmtId="1" fontId="5" fillId="35" borderId="0" xfId="0" applyNumberFormat="1" applyFont="1" applyFill="1" applyBorder="1" applyAlignment="1">
      <alignment vertical="center" wrapText="1"/>
    </xf>
    <xf numFmtId="1" fontId="5" fillId="35" borderId="26" xfId="0" applyNumberFormat="1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1" fontId="2" fillId="35" borderId="24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2" fillId="35" borderId="0" xfId="0" applyFont="1" applyFill="1" applyBorder="1" applyAlignment="1" quotePrefix="1">
      <alignment horizont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/>
    </xf>
    <xf numFmtId="0" fontId="2" fillId="35" borderId="26" xfId="0" applyFont="1" applyFill="1" applyBorder="1" applyAlignment="1" quotePrefix="1">
      <alignment horizontal="center"/>
    </xf>
    <xf numFmtId="0" fontId="4" fillId="34" borderId="23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6" xfId="0" applyFont="1" applyFill="1" applyBorder="1" applyAlignment="1" quotePrefix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29" xfId="0" applyFont="1" applyFill="1" applyBorder="1" applyAlignment="1" quotePrefix="1">
      <alignment horizontal="center" vertical="center"/>
    </xf>
    <xf numFmtId="0" fontId="0" fillId="35" borderId="40" xfId="0" applyFont="1" applyFill="1" applyBorder="1" applyAlignment="1">
      <alignment/>
    </xf>
    <xf numFmtId="1" fontId="4" fillId="35" borderId="24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>
      <alignment horizontal="center" vertical="center"/>
    </xf>
    <xf numFmtId="1" fontId="4" fillId="34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/>
    </xf>
    <xf numFmtId="0" fontId="2" fillId="34" borderId="25" xfId="0" applyFont="1" applyFill="1" applyBorder="1" applyAlignment="1" quotePrefix="1">
      <alignment horizontal="center"/>
    </xf>
    <xf numFmtId="0" fontId="2" fillId="34" borderId="26" xfId="0" applyFont="1" applyFill="1" applyBorder="1" applyAlignment="1" quotePrefix="1">
      <alignment horizontal="center"/>
    </xf>
    <xf numFmtId="0" fontId="0" fillId="34" borderId="41" xfId="0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1" fontId="21" fillId="35" borderId="23" xfId="0" applyNumberFormat="1" applyFont="1" applyFill="1" applyBorder="1" applyAlignment="1">
      <alignment vertical="center" wrapText="1"/>
    </xf>
    <xf numFmtId="1" fontId="21" fillId="35" borderId="26" xfId="0" applyNumberFormat="1" applyFont="1" applyFill="1" applyBorder="1" applyAlignment="1">
      <alignment vertical="center" wrapText="1"/>
    </xf>
    <xf numFmtId="0" fontId="0" fillId="35" borderId="42" xfId="0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4" fillId="35" borderId="35" xfId="0" applyFont="1" applyFill="1" applyBorder="1" applyAlignment="1">
      <alignment horizontal="center"/>
    </xf>
    <xf numFmtId="0" fontId="4" fillId="35" borderId="35" xfId="0" applyFont="1" applyFill="1" applyBorder="1" applyAlignment="1" quotePrefix="1">
      <alignment horizontal="center" vertical="center"/>
    </xf>
    <xf numFmtId="0" fontId="35" fillId="0" borderId="43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24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 quotePrefix="1">
      <alignment/>
    </xf>
    <xf numFmtId="0" fontId="14" fillId="0" borderId="18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29" xfId="0" applyFont="1" applyFill="1" applyBorder="1" applyAlignment="1">
      <alignment/>
    </xf>
    <xf numFmtId="0" fontId="14" fillId="0" borderId="29" xfId="0" applyFont="1" applyFill="1" applyBorder="1" applyAlignment="1">
      <alignment horizontal="center"/>
    </xf>
    <xf numFmtId="0" fontId="5" fillId="37" borderId="11" xfId="0" applyFont="1" applyFill="1" applyBorder="1" applyAlignment="1" applyProtection="1" quotePrefix="1">
      <alignment horizontal="center"/>
      <protection locked="0"/>
    </xf>
    <xf numFmtId="0" fontId="5" fillId="37" borderId="10" xfId="0" applyFont="1" applyFill="1" applyBorder="1" applyAlignment="1" applyProtection="1" quotePrefix="1">
      <alignment horizontal="center"/>
      <protection locked="0"/>
    </xf>
    <xf numFmtId="0" fontId="39" fillId="34" borderId="0" xfId="34" applyFont="1" applyFill="1">
      <alignment/>
      <protection/>
    </xf>
    <xf numFmtId="0" fontId="39" fillId="34" borderId="0" xfId="34" applyFont="1" applyFill="1" applyBorder="1" applyAlignment="1">
      <alignment horizontal="center"/>
      <protection/>
    </xf>
    <xf numFmtId="0" fontId="39" fillId="34" borderId="0" xfId="34" applyFont="1" applyFill="1" applyAlignment="1">
      <alignment horizontal="center"/>
      <protection/>
    </xf>
    <xf numFmtId="0" fontId="0" fillId="0" borderId="0" xfId="34">
      <alignment/>
      <protection/>
    </xf>
    <xf numFmtId="0" fontId="0" fillId="38" borderId="0" xfId="34" applyFill="1">
      <alignment/>
      <protection/>
    </xf>
    <xf numFmtId="0" fontId="0" fillId="38" borderId="0" xfId="34" applyFill="1" applyAlignment="1">
      <alignment horizontal="center"/>
      <protection/>
    </xf>
    <xf numFmtId="0" fontId="0" fillId="34" borderId="0" xfId="34" applyFill="1">
      <alignment/>
      <protection/>
    </xf>
    <xf numFmtId="0" fontId="0" fillId="39" borderId="44" xfId="34" applyFill="1" applyBorder="1" applyAlignment="1">
      <alignment horizontal="center"/>
      <protection/>
    </xf>
    <xf numFmtId="0" fontId="0" fillId="34" borderId="0" xfId="34" applyFill="1" applyAlignment="1">
      <alignment horizontal="center"/>
      <protection/>
    </xf>
    <xf numFmtId="0" fontId="0" fillId="0" borderId="0" xfId="34" applyBorder="1">
      <alignment/>
      <protection/>
    </xf>
    <xf numFmtId="0" fontId="0" fillId="0" borderId="0" xfId="34" applyAlignment="1">
      <alignment horizontal="center"/>
      <protection/>
    </xf>
    <xf numFmtId="0" fontId="0" fillId="34" borderId="0" xfId="34" applyFill="1" applyBorder="1" applyAlignment="1">
      <alignment horizontal="center"/>
      <protection/>
    </xf>
    <xf numFmtId="0" fontId="0" fillId="0" borderId="0" xfId="34" applyBorder="1" applyAlignment="1">
      <alignment horizontal="center"/>
      <protection/>
    </xf>
    <xf numFmtId="0" fontId="0" fillId="0" borderId="0" xfId="34" quotePrefix="1">
      <alignment/>
      <protection/>
    </xf>
    <xf numFmtId="0" fontId="13" fillId="0" borderId="0" xfId="0" applyFont="1" applyAlignment="1">
      <alignment/>
    </xf>
    <xf numFmtId="0" fontId="1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wrapText="1"/>
    </xf>
    <xf numFmtId="0" fontId="13" fillId="0" borderId="26" xfId="36" applyFont="1" applyFill="1" applyBorder="1" applyAlignment="1">
      <alignment horizontal="left"/>
      <protection/>
    </xf>
    <xf numFmtId="0" fontId="13" fillId="0" borderId="26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31" fillId="0" borderId="0" xfId="36" applyFont="1" applyFill="1" applyBorder="1">
      <alignment/>
      <protection/>
    </xf>
    <xf numFmtId="0" fontId="13" fillId="0" borderId="21" xfId="36" applyFont="1" applyFill="1" applyBorder="1" applyAlignment="1">
      <alignment horizontal="left"/>
      <protection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/>
    </xf>
    <xf numFmtId="0" fontId="13" fillId="0" borderId="26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centerContinuous"/>
    </xf>
    <xf numFmtId="0" fontId="0" fillId="40" borderId="0" xfId="34" applyFont="1" applyFill="1" applyBorder="1" applyAlignment="1">
      <alignment horizontal="center"/>
      <protection/>
    </xf>
    <xf numFmtId="0" fontId="29" fillId="0" borderId="0" xfId="0" applyFont="1" applyAlignment="1">
      <alignment horizontal="center" vertical="top"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3" fillId="0" borderId="0" xfId="35" applyFont="1" applyBorder="1">
      <alignment/>
      <protection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6" fillId="33" borderId="26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left" wrapText="1"/>
    </xf>
    <xf numFmtId="0" fontId="36" fillId="0" borderId="21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/>
    </xf>
    <xf numFmtId="0" fontId="35" fillId="36" borderId="39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Normal_P141 cortec" xfId="35"/>
    <cellStyle name="Normal_P541 cortec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D61"/>
  <sheetViews>
    <sheetView showGridLines="0" showRowColHeaders="0" tabSelected="1" zoomScalePageLayoutView="0" workbookViewId="0" topLeftCell="A10">
      <selection activeCell="A21" sqref="A21:B21"/>
    </sheetView>
  </sheetViews>
  <sheetFormatPr defaultColWidth="9.140625" defaultRowHeight="12.75"/>
  <cols>
    <col min="1" max="1" width="49.421875" style="304" bestFit="1" customWidth="1"/>
    <col min="2" max="2" width="33.57421875" style="304" bestFit="1" customWidth="1"/>
    <col min="3" max="3" width="6.7109375" style="304" customWidth="1"/>
    <col min="4" max="4" width="1.7109375" style="304" customWidth="1"/>
    <col min="5" max="5" width="2.28125" style="304" customWidth="1"/>
    <col min="6" max="6" width="1.7109375" style="304" customWidth="1"/>
    <col min="7" max="7" width="2.28125" style="304" customWidth="1"/>
    <col min="8" max="8" width="1.7109375" style="304" customWidth="1"/>
    <col min="9" max="9" width="2.28125" style="304" customWidth="1"/>
    <col min="10" max="10" width="1.7109375" style="304" customWidth="1"/>
    <col min="11" max="11" width="2.28125" style="304" customWidth="1"/>
    <col min="12" max="12" width="1.7109375" style="304" customWidth="1"/>
    <col min="13" max="13" width="2.28125" style="304" customWidth="1"/>
    <col min="14" max="14" width="1.7109375" style="304" customWidth="1"/>
    <col min="15" max="15" width="2.28125" style="304" customWidth="1"/>
    <col min="16" max="16" width="1.7109375" style="304" customWidth="1"/>
    <col min="17" max="17" width="2.28125" style="304" customWidth="1"/>
    <col min="18" max="18" width="1.7109375" style="304" customWidth="1"/>
    <col min="19" max="19" width="2.28125" style="304" customWidth="1"/>
    <col min="20" max="20" width="1.7109375" style="304" customWidth="1"/>
    <col min="21" max="21" width="2.28125" style="304" customWidth="1"/>
    <col min="22" max="22" width="1.7109375" style="304" customWidth="1"/>
    <col min="23" max="23" width="2.28125" style="304" customWidth="1"/>
    <col min="24" max="24" width="1.7109375" style="304" customWidth="1"/>
    <col min="25" max="25" width="2.28125" style="304" customWidth="1"/>
    <col min="26" max="26" width="4.57421875" style="304" customWidth="1"/>
    <col min="27" max="16384" width="9.140625" style="304" customWidth="1"/>
  </cols>
  <sheetData>
    <row r="1" spans="1:24" ht="24">
      <c r="A1" s="176" t="s">
        <v>100</v>
      </c>
      <c r="B1" s="182"/>
      <c r="C1" s="177" t="s">
        <v>81</v>
      </c>
      <c r="D1" s="183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84"/>
      <c r="U1" s="185"/>
      <c r="V1" s="184"/>
      <c r="W1" s="186"/>
      <c r="X1"/>
    </row>
    <row r="2" spans="1:27" s="107" customFormat="1" ht="18.75">
      <c r="A2" s="182"/>
      <c r="B2" s="182"/>
      <c r="C2" s="178" t="s">
        <v>101</v>
      </c>
      <c r="D2" s="183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305"/>
      <c r="P2" s="184"/>
      <c r="Q2" s="184"/>
      <c r="R2" s="184"/>
      <c r="S2" s="185"/>
      <c r="T2" s="184"/>
      <c r="U2" s="185"/>
      <c r="V2" s="184"/>
      <c r="W2" s="186"/>
      <c r="X2" s="4"/>
      <c r="Y2" s="108"/>
      <c r="Z2" s="108"/>
      <c r="AA2" s="189"/>
    </row>
    <row r="3" spans="1:27" ht="14.25">
      <c r="A3" s="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306"/>
      <c r="Z3" s="306"/>
      <c r="AA3" s="144"/>
    </row>
    <row r="4" spans="1:30" ht="15">
      <c r="A4" s="106"/>
      <c r="B4" s="21"/>
      <c r="C4" s="187"/>
      <c r="D4" s="21"/>
      <c r="E4" s="187"/>
      <c r="F4" s="21"/>
      <c r="G4" s="187"/>
      <c r="H4" s="21"/>
      <c r="I4" s="187"/>
      <c r="J4" s="21"/>
      <c r="K4" s="187"/>
      <c r="L4" s="21"/>
      <c r="M4" s="188"/>
      <c r="N4" s="21"/>
      <c r="O4" s="188"/>
      <c r="P4" s="188"/>
      <c r="Q4" s="188"/>
      <c r="R4" s="21"/>
      <c r="S4" s="188"/>
      <c r="T4" s="21"/>
      <c r="U4" s="188"/>
      <c r="V4" s="21"/>
      <c r="W4" s="188"/>
      <c r="X4" s="188"/>
      <c r="Y4" s="21"/>
      <c r="Z4" s="306"/>
      <c r="AA4" s="144"/>
      <c r="AD4" s="307"/>
    </row>
    <row r="5" spans="1:27" ht="15.75" thickBot="1">
      <c r="A5" s="106"/>
      <c r="B5" s="188"/>
      <c r="C5" s="187"/>
      <c r="D5" s="188"/>
      <c r="E5" s="187"/>
      <c r="F5" s="188"/>
      <c r="G5" s="187"/>
      <c r="H5" s="188"/>
      <c r="I5" s="187"/>
      <c r="J5" s="188"/>
      <c r="K5" s="187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306"/>
      <c r="Z5" s="306"/>
      <c r="AA5" s="144"/>
    </row>
    <row r="6" spans="1:27" s="107" customFormat="1" ht="20.25" thickBot="1">
      <c r="A6" s="195" t="s">
        <v>102</v>
      </c>
      <c r="B6" s="195"/>
      <c r="C6" s="196" t="s">
        <v>52</v>
      </c>
      <c r="D6" s="197"/>
      <c r="E6" s="341" t="s">
        <v>3</v>
      </c>
      <c r="F6" s="341"/>
      <c r="G6" s="340">
        <v>0</v>
      </c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273"/>
      <c r="Z6" s="108"/>
      <c r="AA6" s="189"/>
    </row>
    <row r="7" spans="1:27" ht="14.25">
      <c r="A7" s="308"/>
      <c r="B7" s="308"/>
      <c r="C7" s="309"/>
      <c r="D7" s="306"/>
      <c r="E7" s="193"/>
      <c r="F7" s="190"/>
      <c r="G7" s="310"/>
      <c r="H7" s="311"/>
      <c r="I7" s="193"/>
      <c r="J7" s="190"/>
      <c r="K7" s="310"/>
      <c r="L7" s="311"/>
      <c r="M7" s="190"/>
      <c r="N7" s="190"/>
      <c r="O7" s="311"/>
      <c r="P7" s="311"/>
      <c r="Q7" s="312"/>
      <c r="R7" s="312"/>
      <c r="S7" s="311"/>
      <c r="T7" s="311"/>
      <c r="U7" s="312"/>
      <c r="V7" s="312"/>
      <c r="W7" s="311"/>
      <c r="X7" s="311"/>
      <c r="Y7" s="306"/>
      <c r="Z7" s="306"/>
      <c r="AA7" s="144"/>
    </row>
    <row r="8" spans="1:27" ht="15.75">
      <c r="A8" s="313" t="s">
        <v>103</v>
      </c>
      <c r="B8" s="109"/>
      <c r="C8" s="306"/>
      <c r="D8" s="306"/>
      <c r="E8" s="193"/>
      <c r="F8" s="190"/>
      <c r="G8" s="310"/>
      <c r="H8" s="311"/>
      <c r="I8" s="193"/>
      <c r="J8" s="190"/>
      <c r="K8" s="310"/>
      <c r="L8" s="311"/>
      <c r="M8" s="190"/>
      <c r="N8" s="190"/>
      <c r="O8" s="311"/>
      <c r="P8" s="311"/>
      <c r="Q8" s="312"/>
      <c r="R8" s="312"/>
      <c r="S8" s="311"/>
      <c r="T8" s="311"/>
      <c r="U8" s="312"/>
      <c r="V8" s="312"/>
      <c r="W8" s="311"/>
      <c r="X8" s="311"/>
      <c r="Y8" s="306"/>
      <c r="Z8" s="306"/>
      <c r="AA8" s="144"/>
    </row>
    <row r="9" spans="1:27" ht="15">
      <c r="A9" s="202" t="s">
        <v>38</v>
      </c>
      <c r="B9" s="314"/>
      <c r="C9" s="315"/>
      <c r="D9" s="315"/>
      <c r="E9" s="335" t="s">
        <v>3</v>
      </c>
      <c r="F9" s="335"/>
      <c r="G9" s="310"/>
      <c r="H9" s="311"/>
      <c r="I9" s="193"/>
      <c r="J9" s="190"/>
      <c r="K9" s="310"/>
      <c r="L9" s="311"/>
      <c r="M9" s="190"/>
      <c r="N9" s="190"/>
      <c r="O9" s="311"/>
      <c r="P9" s="311"/>
      <c r="Q9" s="312"/>
      <c r="R9" s="312"/>
      <c r="S9" s="311"/>
      <c r="T9" s="311"/>
      <c r="U9" s="312"/>
      <c r="V9" s="312"/>
      <c r="W9" s="311"/>
      <c r="X9" s="311"/>
      <c r="Y9" s="306"/>
      <c r="Z9" s="306"/>
      <c r="AA9" s="144"/>
    </row>
    <row r="10" spans="1:27" ht="15.75">
      <c r="A10" s="313" t="s">
        <v>104</v>
      </c>
      <c r="B10" s="109"/>
      <c r="C10" s="306"/>
      <c r="D10" s="306"/>
      <c r="E10" s="309"/>
      <c r="F10" s="306"/>
      <c r="G10" s="310"/>
      <c r="H10" s="311"/>
      <c r="I10" s="193"/>
      <c r="J10" s="190"/>
      <c r="K10" s="310"/>
      <c r="L10" s="311"/>
      <c r="M10" s="190"/>
      <c r="N10" s="190"/>
      <c r="O10" s="311"/>
      <c r="P10" s="311"/>
      <c r="Q10" s="312"/>
      <c r="R10" s="312"/>
      <c r="S10" s="311"/>
      <c r="T10" s="311"/>
      <c r="U10" s="312"/>
      <c r="V10" s="312"/>
      <c r="W10" s="311"/>
      <c r="X10" s="311"/>
      <c r="Y10" s="306"/>
      <c r="Z10" s="306"/>
      <c r="AA10" s="144"/>
    </row>
    <row r="11" spans="1:27" ht="15">
      <c r="A11" s="202" t="s">
        <v>105</v>
      </c>
      <c r="B11" s="314"/>
      <c r="C11" s="315"/>
      <c r="D11" s="315"/>
      <c r="E11" s="316"/>
      <c r="F11" s="315"/>
      <c r="G11" s="335">
        <v>0</v>
      </c>
      <c r="H11" s="335"/>
      <c r="I11" s="193"/>
      <c r="J11" s="190"/>
      <c r="K11" s="310"/>
      <c r="L11" s="311"/>
      <c r="M11" s="190"/>
      <c r="N11" s="190"/>
      <c r="O11" s="311"/>
      <c r="P11" s="311"/>
      <c r="Q11" s="312"/>
      <c r="R11" s="312"/>
      <c r="S11" s="311"/>
      <c r="T11" s="311"/>
      <c r="U11" s="312"/>
      <c r="V11" s="312"/>
      <c r="W11" s="311"/>
      <c r="X11" s="311"/>
      <c r="Y11" s="306"/>
      <c r="Z11" s="306"/>
      <c r="AA11" s="144"/>
    </row>
    <row r="12" spans="1:27" ht="15.75">
      <c r="A12" s="317" t="s">
        <v>106</v>
      </c>
      <c r="B12" s="110"/>
      <c r="C12" s="198"/>
      <c r="D12" s="306"/>
      <c r="E12" s="309"/>
      <c r="F12" s="306"/>
      <c r="G12" s="309"/>
      <c r="H12" s="306"/>
      <c r="I12" s="193"/>
      <c r="J12" s="190"/>
      <c r="K12" s="310"/>
      <c r="L12" s="311"/>
      <c r="M12" s="190"/>
      <c r="N12" s="190"/>
      <c r="O12" s="311"/>
      <c r="P12" s="311"/>
      <c r="Q12" s="312"/>
      <c r="R12" s="312"/>
      <c r="S12" s="311"/>
      <c r="T12" s="311"/>
      <c r="U12" s="312"/>
      <c r="V12" s="312"/>
      <c r="W12" s="311"/>
      <c r="X12" s="311"/>
      <c r="Y12" s="306"/>
      <c r="Z12" s="306"/>
      <c r="AA12" s="144"/>
    </row>
    <row r="13" spans="1:27" ht="15">
      <c r="A13" s="202" t="s">
        <v>107</v>
      </c>
      <c r="B13" s="314"/>
      <c r="C13" s="315"/>
      <c r="D13" s="315"/>
      <c r="E13" s="316"/>
      <c r="F13" s="315"/>
      <c r="G13" s="316"/>
      <c r="H13" s="315"/>
      <c r="I13" s="335">
        <v>0</v>
      </c>
      <c r="J13" s="335"/>
      <c r="K13" s="310"/>
      <c r="L13" s="311"/>
      <c r="M13" s="190"/>
      <c r="N13" s="190"/>
      <c r="O13" s="311"/>
      <c r="P13" s="311"/>
      <c r="Q13" s="312"/>
      <c r="R13" s="312"/>
      <c r="S13" s="311"/>
      <c r="T13" s="311"/>
      <c r="U13" s="312"/>
      <c r="V13" s="312"/>
      <c r="W13" s="311"/>
      <c r="X13" s="311"/>
      <c r="Y13" s="306"/>
      <c r="Z13" s="306"/>
      <c r="AA13" s="144"/>
    </row>
    <row r="14" spans="1:27" ht="15">
      <c r="A14" s="203" t="s">
        <v>108</v>
      </c>
      <c r="B14" s="318"/>
      <c r="C14" s="319"/>
      <c r="D14" s="319"/>
      <c r="E14" s="320"/>
      <c r="F14" s="319"/>
      <c r="G14" s="320"/>
      <c r="H14" s="319"/>
      <c r="I14" s="334">
        <v>1</v>
      </c>
      <c r="J14" s="334"/>
      <c r="K14" s="310"/>
      <c r="L14" s="311"/>
      <c r="M14" s="190"/>
      <c r="N14" s="190"/>
      <c r="O14" s="311"/>
      <c r="P14" s="311"/>
      <c r="Q14" s="312"/>
      <c r="R14" s="312"/>
      <c r="S14" s="311"/>
      <c r="T14" s="311"/>
      <c r="U14" s="312"/>
      <c r="V14" s="312"/>
      <c r="W14" s="311"/>
      <c r="X14" s="311"/>
      <c r="Y14" s="306"/>
      <c r="Z14" s="306"/>
      <c r="AA14" s="144"/>
    </row>
    <row r="15" spans="1:27" ht="15">
      <c r="A15" s="203" t="s">
        <v>109</v>
      </c>
      <c r="B15" s="318"/>
      <c r="C15" s="319"/>
      <c r="D15" s="319"/>
      <c r="E15" s="320"/>
      <c r="F15" s="319"/>
      <c r="G15" s="320"/>
      <c r="H15" s="319"/>
      <c r="I15" s="334">
        <v>2</v>
      </c>
      <c r="J15" s="334"/>
      <c r="K15" s="310"/>
      <c r="L15" s="311"/>
      <c r="M15" s="190"/>
      <c r="N15" s="190"/>
      <c r="O15" s="311"/>
      <c r="P15" s="311"/>
      <c r="Q15" s="312"/>
      <c r="R15" s="312"/>
      <c r="S15" s="311"/>
      <c r="T15" s="311"/>
      <c r="U15" s="312"/>
      <c r="V15" s="312"/>
      <c r="W15" s="311"/>
      <c r="X15" s="311"/>
      <c r="Y15" s="306"/>
      <c r="Z15" s="306"/>
      <c r="AA15" s="144"/>
    </row>
    <row r="16" spans="1:27" ht="15">
      <c r="A16" s="203" t="s">
        <v>110</v>
      </c>
      <c r="B16" s="318"/>
      <c r="C16" s="319"/>
      <c r="D16" s="319"/>
      <c r="E16" s="320"/>
      <c r="F16" s="319"/>
      <c r="G16" s="320"/>
      <c r="H16" s="319"/>
      <c r="I16" s="334">
        <v>3</v>
      </c>
      <c r="J16" s="334"/>
      <c r="K16" s="310"/>
      <c r="L16" s="311"/>
      <c r="M16" s="190"/>
      <c r="N16" s="190"/>
      <c r="O16" s="311"/>
      <c r="P16" s="311"/>
      <c r="Q16" s="312"/>
      <c r="R16" s="312"/>
      <c r="S16" s="311"/>
      <c r="T16" s="311"/>
      <c r="U16" s="312"/>
      <c r="V16" s="312"/>
      <c r="W16" s="311"/>
      <c r="X16" s="311"/>
      <c r="Y16" s="306"/>
      <c r="Z16" s="306"/>
      <c r="AA16" s="144"/>
    </row>
    <row r="17" spans="1:27" ht="16.5">
      <c r="A17" s="321" t="s">
        <v>111</v>
      </c>
      <c r="B17" s="322" t="s">
        <v>112</v>
      </c>
      <c r="C17" s="198"/>
      <c r="D17" s="306"/>
      <c r="E17" s="309"/>
      <c r="F17" s="306"/>
      <c r="G17" s="309"/>
      <c r="H17" s="306"/>
      <c r="I17" s="309"/>
      <c r="J17" s="306"/>
      <c r="K17" s="194"/>
      <c r="L17" s="311"/>
      <c r="M17" s="190"/>
      <c r="N17" s="190"/>
      <c r="O17" s="311"/>
      <c r="P17" s="311"/>
      <c r="Q17" s="312"/>
      <c r="R17" s="312"/>
      <c r="S17" s="311"/>
      <c r="T17" s="311"/>
      <c r="U17" s="312"/>
      <c r="V17" s="312"/>
      <c r="W17" s="311"/>
      <c r="X17" s="311"/>
      <c r="Y17" s="306"/>
      <c r="Z17" s="306"/>
      <c r="AA17" s="144"/>
    </row>
    <row r="18" spans="1:27" ht="15">
      <c r="A18" s="204" t="s">
        <v>19</v>
      </c>
      <c r="B18" s="323" t="s">
        <v>48</v>
      </c>
      <c r="C18" s="323"/>
      <c r="D18" s="323"/>
      <c r="E18" s="323"/>
      <c r="F18" s="323"/>
      <c r="G18" s="323"/>
      <c r="H18" s="323"/>
      <c r="I18" s="323"/>
      <c r="J18" s="315"/>
      <c r="K18" s="339" t="s">
        <v>16</v>
      </c>
      <c r="L18" s="339"/>
      <c r="M18" s="190"/>
      <c r="N18" s="190"/>
      <c r="O18" s="311"/>
      <c r="P18" s="311"/>
      <c r="Q18" s="312"/>
      <c r="R18" s="312"/>
      <c r="S18" s="311"/>
      <c r="T18" s="311"/>
      <c r="U18" s="312"/>
      <c r="V18" s="312"/>
      <c r="W18" s="311"/>
      <c r="X18" s="311"/>
      <c r="Y18" s="306"/>
      <c r="Z18" s="306"/>
      <c r="AA18" s="144"/>
    </row>
    <row r="19" spans="1:27" ht="15">
      <c r="A19" s="205" t="s">
        <v>19</v>
      </c>
      <c r="B19" s="324" t="s">
        <v>39</v>
      </c>
      <c r="C19" s="324"/>
      <c r="D19" s="324"/>
      <c r="E19" s="324"/>
      <c r="F19" s="324"/>
      <c r="G19" s="324"/>
      <c r="H19" s="324"/>
      <c r="I19" s="324"/>
      <c r="J19" s="319"/>
      <c r="K19" s="338" t="s">
        <v>21</v>
      </c>
      <c r="L19" s="338"/>
      <c r="M19" s="190"/>
      <c r="N19" s="190"/>
      <c r="O19" s="311"/>
      <c r="P19" s="311"/>
      <c r="Q19" s="312"/>
      <c r="R19" s="312"/>
      <c r="S19" s="311"/>
      <c r="T19" s="311"/>
      <c r="U19" s="312"/>
      <c r="V19" s="312"/>
      <c r="W19" s="311"/>
      <c r="X19" s="311"/>
      <c r="Y19" s="306"/>
      <c r="Z19" s="306"/>
      <c r="AA19" s="144"/>
    </row>
    <row r="20" spans="1:27" ht="15">
      <c r="A20" s="205" t="s">
        <v>19</v>
      </c>
      <c r="B20" s="324" t="s">
        <v>40</v>
      </c>
      <c r="C20" s="324"/>
      <c r="D20" s="324"/>
      <c r="E20" s="324"/>
      <c r="F20" s="324"/>
      <c r="G20" s="324"/>
      <c r="H20" s="324"/>
      <c r="I20" s="324"/>
      <c r="J20" s="319"/>
      <c r="K20" s="338" t="s">
        <v>22</v>
      </c>
      <c r="L20" s="338"/>
      <c r="M20" s="190"/>
      <c r="N20" s="190"/>
      <c r="O20" s="311"/>
      <c r="P20" s="311"/>
      <c r="Q20" s="312"/>
      <c r="R20" s="312"/>
      <c r="S20" s="311"/>
      <c r="T20" s="311"/>
      <c r="U20" s="312"/>
      <c r="V20" s="312"/>
      <c r="W20" s="311"/>
      <c r="X20" s="311"/>
      <c r="Y20" s="306"/>
      <c r="Z20" s="306"/>
      <c r="AA20" s="144"/>
    </row>
    <row r="21" spans="1:27" ht="15">
      <c r="A21" s="205" t="s">
        <v>72</v>
      </c>
      <c r="B21" s="324" t="s">
        <v>33</v>
      </c>
      <c r="C21" s="324"/>
      <c r="D21" s="324"/>
      <c r="E21" s="324"/>
      <c r="F21" s="324"/>
      <c r="G21" s="324"/>
      <c r="H21" s="324"/>
      <c r="I21" s="324"/>
      <c r="J21" s="319"/>
      <c r="K21" s="338" t="s">
        <v>36</v>
      </c>
      <c r="L21" s="338"/>
      <c r="M21" s="190"/>
      <c r="N21" s="190"/>
      <c r="O21" s="311"/>
      <c r="P21" s="311"/>
      <c r="Q21" s="312"/>
      <c r="R21" s="312"/>
      <c r="S21" s="311"/>
      <c r="T21" s="311"/>
      <c r="U21" s="312"/>
      <c r="V21" s="312"/>
      <c r="W21" s="311"/>
      <c r="X21" s="311"/>
      <c r="Y21" s="306"/>
      <c r="Z21" s="306"/>
      <c r="AA21" s="144"/>
    </row>
    <row r="22" spans="1:27" ht="15.75">
      <c r="A22" s="313" t="s">
        <v>113</v>
      </c>
      <c r="B22" s="109"/>
      <c r="C22" s="306"/>
      <c r="D22" s="306"/>
      <c r="E22" s="309"/>
      <c r="F22" s="306"/>
      <c r="G22" s="309"/>
      <c r="H22" s="306"/>
      <c r="I22" s="309"/>
      <c r="J22" s="306"/>
      <c r="K22" s="309"/>
      <c r="L22" s="306"/>
      <c r="M22" s="190"/>
      <c r="N22" s="190"/>
      <c r="O22" s="311"/>
      <c r="P22" s="311"/>
      <c r="Q22" s="312"/>
      <c r="R22" s="312"/>
      <c r="S22" s="311"/>
      <c r="T22" s="311"/>
      <c r="U22" s="312"/>
      <c r="V22" s="312"/>
      <c r="W22" s="311"/>
      <c r="X22" s="311"/>
      <c r="Y22" s="306"/>
      <c r="Z22" s="306"/>
      <c r="AA22" s="144"/>
    </row>
    <row r="23" spans="1:27" ht="15">
      <c r="A23" s="206" t="s">
        <v>114</v>
      </c>
      <c r="B23" s="325"/>
      <c r="C23" s="326"/>
      <c r="D23" s="200"/>
      <c r="E23" s="200"/>
      <c r="F23" s="200"/>
      <c r="G23" s="200"/>
      <c r="H23" s="200"/>
      <c r="I23" s="200"/>
      <c r="J23" s="200"/>
      <c r="K23" s="200"/>
      <c r="L23" s="200"/>
      <c r="M23" s="335">
        <v>1</v>
      </c>
      <c r="N23" s="335"/>
      <c r="O23" s="311"/>
      <c r="P23" s="192"/>
      <c r="Q23" s="312"/>
      <c r="R23" s="191"/>
      <c r="S23" s="311"/>
      <c r="T23" s="192"/>
      <c r="U23" s="312"/>
      <c r="V23" s="191"/>
      <c r="W23" s="311"/>
      <c r="X23" s="192"/>
      <c r="Y23" s="306"/>
      <c r="Z23" s="306"/>
      <c r="AA23" s="144"/>
    </row>
    <row r="24" spans="1:27" ht="15">
      <c r="A24" s="207" t="s">
        <v>115</v>
      </c>
      <c r="B24" s="319"/>
      <c r="C24" s="319"/>
      <c r="D24" s="319"/>
      <c r="E24" s="320"/>
      <c r="F24" s="319"/>
      <c r="G24" s="320"/>
      <c r="H24" s="319"/>
      <c r="I24" s="320"/>
      <c r="J24" s="319"/>
      <c r="K24" s="320"/>
      <c r="L24" s="319"/>
      <c r="M24" s="334">
        <v>2</v>
      </c>
      <c r="N24" s="334"/>
      <c r="O24" s="311"/>
      <c r="P24" s="311"/>
      <c r="Q24" s="312"/>
      <c r="R24" s="312"/>
      <c r="S24" s="311"/>
      <c r="T24" s="311"/>
      <c r="U24" s="312"/>
      <c r="V24" s="312"/>
      <c r="W24" s="311"/>
      <c r="X24" s="311"/>
      <c r="Y24" s="306"/>
      <c r="Z24" s="306"/>
      <c r="AA24" s="144"/>
    </row>
    <row r="25" spans="1:27" ht="14.25" customHeight="1">
      <c r="A25" s="207" t="s">
        <v>116</v>
      </c>
      <c r="B25" s="319"/>
      <c r="C25" s="319"/>
      <c r="D25" s="319"/>
      <c r="E25" s="320"/>
      <c r="F25" s="319"/>
      <c r="G25" s="320"/>
      <c r="H25" s="319"/>
      <c r="I25" s="320"/>
      <c r="J25" s="319"/>
      <c r="K25" s="320"/>
      <c r="L25" s="319"/>
      <c r="M25" s="334">
        <v>3</v>
      </c>
      <c r="N25" s="334"/>
      <c r="O25" s="311"/>
      <c r="P25" s="311"/>
      <c r="Q25" s="312"/>
      <c r="R25" s="312"/>
      <c r="S25" s="311"/>
      <c r="T25" s="311"/>
      <c r="U25" s="312"/>
      <c r="V25" s="312"/>
      <c r="W25" s="311"/>
      <c r="X25" s="311"/>
      <c r="Y25" s="306"/>
      <c r="Z25" s="306"/>
      <c r="AA25" s="144"/>
    </row>
    <row r="26" spans="1:27" ht="14.25" customHeight="1">
      <c r="A26" s="207" t="s">
        <v>117</v>
      </c>
      <c r="B26" s="319"/>
      <c r="C26" s="319"/>
      <c r="D26" s="319"/>
      <c r="E26" s="320"/>
      <c r="F26" s="319"/>
      <c r="G26" s="320"/>
      <c r="H26" s="319"/>
      <c r="I26" s="320"/>
      <c r="J26" s="319"/>
      <c r="K26" s="320"/>
      <c r="L26" s="319"/>
      <c r="M26" s="334">
        <v>5</v>
      </c>
      <c r="N26" s="334"/>
      <c r="O26" s="311"/>
      <c r="P26" s="311"/>
      <c r="Q26" s="312"/>
      <c r="R26" s="312"/>
      <c r="S26" s="311"/>
      <c r="T26" s="311"/>
      <c r="U26" s="312"/>
      <c r="V26" s="312"/>
      <c r="W26" s="311"/>
      <c r="X26" s="311"/>
      <c r="Y26" s="306"/>
      <c r="Z26" s="306"/>
      <c r="AA26" s="144"/>
    </row>
    <row r="27" spans="1:27" ht="15.75">
      <c r="A27" s="313" t="s">
        <v>118</v>
      </c>
      <c r="B27" s="109"/>
      <c r="C27" s="199" t="s">
        <v>119</v>
      </c>
      <c r="D27" s="306"/>
      <c r="E27" s="309"/>
      <c r="F27" s="306"/>
      <c r="G27" s="309"/>
      <c r="H27" s="306"/>
      <c r="I27" s="309"/>
      <c r="J27" s="306"/>
      <c r="K27" s="309"/>
      <c r="L27" s="306"/>
      <c r="M27" s="306"/>
      <c r="N27" s="306"/>
      <c r="O27" s="311"/>
      <c r="P27" s="311"/>
      <c r="Q27" s="312"/>
      <c r="R27" s="312"/>
      <c r="S27" s="311"/>
      <c r="T27" s="311"/>
      <c r="U27" s="312"/>
      <c r="V27" s="312"/>
      <c r="W27" s="311"/>
      <c r="X27" s="311"/>
      <c r="Y27" s="306"/>
      <c r="Z27" s="306"/>
      <c r="AA27" s="144"/>
    </row>
    <row r="28" spans="1:27" ht="15">
      <c r="A28" s="206" t="s">
        <v>120</v>
      </c>
      <c r="B28" s="325"/>
      <c r="C28" s="315"/>
      <c r="D28" s="315"/>
      <c r="E28" s="316"/>
      <c r="F28" s="315"/>
      <c r="G28" s="316"/>
      <c r="H28" s="315"/>
      <c r="I28" s="316"/>
      <c r="J28" s="315"/>
      <c r="K28" s="316"/>
      <c r="L28" s="315"/>
      <c r="M28" s="315"/>
      <c r="N28" s="315"/>
      <c r="O28" s="335">
        <v>0</v>
      </c>
      <c r="P28" s="335"/>
      <c r="Q28" s="312"/>
      <c r="R28" s="312"/>
      <c r="S28" s="311"/>
      <c r="T28" s="311"/>
      <c r="U28" s="312"/>
      <c r="V28" s="312"/>
      <c r="W28" s="311"/>
      <c r="X28" s="311"/>
      <c r="Y28" s="306"/>
      <c r="Z28" s="306"/>
      <c r="AA28" s="144"/>
    </row>
    <row r="29" spans="1:27" ht="15">
      <c r="A29" s="207" t="s">
        <v>121</v>
      </c>
      <c r="B29" s="319"/>
      <c r="C29" s="319"/>
      <c r="D29" s="319"/>
      <c r="E29" s="320"/>
      <c r="F29" s="319"/>
      <c r="G29" s="320"/>
      <c r="H29" s="319"/>
      <c r="I29" s="320"/>
      <c r="J29" s="319"/>
      <c r="K29" s="320"/>
      <c r="L29" s="319"/>
      <c r="M29" s="319"/>
      <c r="N29" s="319"/>
      <c r="O29" s="334">
        <v>1</v>
      </c>
      <c r="P29" s="334"/>
      <c r="Q29" s="312"/>
      <c r="R29" s="312"/>
      <c r="S29" s="311"/>
      <c r="T29" s="311"/>
      <c r="U29" s="312"/>
      <c r="V29" s="312"/>
      <c r="W29" s="311"/>
      <c r="X29" s="311"/>
      <c r="Y29" s="306"/>
      <c r="Z29" s="306"/>
      <c r="AA29" s="144"/>
    </row>
    <row r="30" spans="1:27" ht="15">
      <c r="A30" s="207" t="s">
        <v>122</v>
      </c>
      <c r="B30" s="319"/>
      <c r="C30" s="319"/>
      <c r="D30" s="319"/>
      <c r="E30" s="320"/>
      <c r="F30" s="319"/>
      <c r="G30" s="320"/>
      <c r="H30" s="319"/>
      <c r="I30" s="320"/>
      <c r="J30" s="319"/>
      <c r="K30" s="320"/>
      <c r="L30" s="319"/>
      <c r="M30" s="319"/>
      <c r="N30" s="319"/>
      <c r="O30" s="334">
        <v>2</v>
      </c>
      <c r="P30" s="334"/>
      <c r="Q30" s="312"/>
      <c r="R30" s="312"/>
      <c r="S30" s="311"/>
      <c r="T30" s="311"/>
      <c r="U30" s="312"/>
      <c r="V30" s="312"/>
      <c r="W30" s="311"/>
      <c r="X30" s="311"/>
      <c r="Y30" s="306"/>
      <c r="Z30" s="306"/>
      <c r="AA30" s="144"/>
    </row>
    <row r="31" spans="1:27" ht="15">
      <c r="A31" s="207" t="s">
        <v>123</v>
      </c>
      <c r="B31" s="319"/>
      <c r="C31" s="319"/>
      <c r="D31" s="319"/>
      <c r="E31" s="320"/>
      <c r="F31" s="319"/>
      <c r="G31" s="320"/>
      <c r="H31" s="319"/>
      <c r="I31" s="320"/>
      <c r="J31" s="319"/>
      <c r="K31" s="320"/>
      <c r="L31" s="319"/>
      <c r="M31" s="319"/>
      <c r="N31" s="319"/>
      <c r="O31" s="334">
        <v>3</v>
      </c>
      <c r="P31" s="334"/>
      <c r="Q31" s="312"/>
      <c r="R31" s="312"/>
      <c r="S31" s="311"/>
      <c r="T31" s="311"/>
      <c r="U31" s="312"/>
      <c r="V31" s="312"/>
      <c r="W31" s="311"/>
      <c r="X31" s="311"/>
      <c r="Y31" s="306"/>
      <c r="Z31" s="306"/>
      <c r="AA31" s="144"/>
    </row>
    <row r="32" spans="1:27" ht="15">
      <c r="A32" s="208" t="s">
        <v>124</v>
      </c>
      <c r="B32" s="319"/>
      <c r="C32" s="319"/>
      <c r="D32" s="319"/>
      <c r="E32" s="320"/>
      <c r="F32" s="319"/>
      <c r="G32" s="320"/>
      <c r="H32" s="319"/>
      <c r="I32" s="320"/>
      <c r="J32" s="319"/>
      <c r="K32" s="320"/>
      <c r="L32" s="319"/>
      <c r="M32" s="319"/>
      <c r="N32" s="319"/>
      <c r="O32" s="334">
        <v>4</v>
      </c>
      <c r="P32" s="334"/>
      <c r="Q32" s="312"/>
      <c r="R32" s="312"/>
      <c r="S32" s="311"/>
      <c r="T32" s="311"/>
      <c r="U32" s="312"/>
      <c r="V32" s="312"/>
      <c r="W32" s="311"/>
      <c r="X32" s="311"/>
      <c r="Y32" s="306"/>
      <c r="Z32" s="306"/>
      <c r="AA32" s="144"/>
    </row>
    <row r="33" spans="1:27" ht="15">
      <c r="A33" s="207" t="s">
        <v>125</v>
      </c>
      <c r="B33" s="319"/>
      <c r="C33" s="319"/>
      <c r="D33" s="319"/>
      <c r="E33" s="320"/>
      <c r="F33" s="319"/>
      <c r="G33" s="320"/>
      <c r="H33" s="319"/>
      <c r="I33" s="320"/>
      <c r="J33" s="319"/>
      <c r="K33" s="320"/>
      <c r="L33" s="319"/>
      <c r="M33" s="319"/>
      <c r="N33" s="319"/>
      <c r="O33" s="334">
        <v>5</v>
      </c>
      <c r="P33" s="334"/>
      <c r="Q33" s="312"/>
      <c r="R33" s="312"/>
      <c r="S33" s="311"/>
      <c r="T33" s="311"/>
      <c r="U33" s="312"/>
      <c r="V33" s="312"/>
      <c r="W33" s="311"/>
      <c r="X33" s="311"/>
      <c r="Y33" s="306"/>
      <c r="Z33" s="306"/>
      <c r="AA33" s="144"/>
    </row>
    <row r="34" spans="1:27" ht="15">
      <c r="A34" s="207" t="s">
        <v>126</v>
      </c>
      <c r="B34" s="319"/>
      <c r="C34" s="319"/>
      <c r="D34" s="319"/>
      <c r="E34" s="320"/>
      <c r="F34" s="319"/>
      <c r="G34" s="320"/>
      <c r="H34" s="319"/>
      <c r="I34" s="320"/>
      <c r="J34" s="319"/>
      <c r="K34" s="320"/>
      <c r="L34" s="319"/>
      <c r="M34" s="319"/>
      <c r="N34" s="319"/>
      <c r="O34" s="334">
        <v>6</v>
      </c>
      <c r="P34" s="334"/>
      <c r="Q34" s="312"/>
      <c r="R34" s="312"/>
      <c r="S34" s="311"/>
      <c r="T34" s="311"/>
      <c r="U34" s="312"/>
      <c r="V34" s="312"/>
      <c r="W34" s="311"/>
      <c r="X34" s="311"/>
      <c r="Y34" s="306"/>
      <c r="Z34" s="306"/>
      <c r="AA34" s="144"/>
    </row>
    <row r="35" spans="1:27" ht="15">
      <c r="A35" s="208" t="s">
        <v>127</v>
      </c>
      <c r="B35" s="319"/>
      <c r="C35" s="319"/>
      <c r="D35" s="319"/>
      <c r="E35" s="320"/>
      <c r="F35" s="319"/>
      <c r="G35" s="320"/>
      <c r="H35" s="319"/>
      <c r="I35" s="320"/>
      <c r="J35" s="319"/>
      <c r="K35" s="320"/>
      <c r="L35" s="319"/>
      <c r="M35" s="319"/>
      <c r="N35" s="319"/>
      <c r="O35" s="334">
        <v>7</v>
      </c>
      <c r="P35" s="334"/>
      <c r="Q35" s="312"/>
      <c r="R35" s="312"/>
      <c r="S35" s="311"/>
      <c r="T35" s="311"/>
      <c r="U35" s="312"/>
      <c r="V35" s="312"/>
      <c r="W35" s="311"/>
      <c r="X35" s="311"/>
      <c r="Y35" s="306"/>
      <c r="Z35" s="306"/>
      <c r="AA35" s="144"/>
    </row>
    <row r="36" spans="1:27" ht="15">
      <c r="A36" s="208" t="s">
        <v>168</v>
      </c>
      <c r="B36" s="319"/>
      <c r="C36" s="319"/>
      <c r="D36" s="319"/>
      <c r="E36" s="320"/>
      <c r="F36" s="319"/>
      <c r="G36" s="320"/>
      <c r="H36" s="319"/>
      <c r="I36" s="320"/>
      <c r="J36" s="319"/>
      <c r="K36" s="320"/>
      <c r="L36" s="319"/>
      <c r="M36" s="319"/>
      <c r="N36" s="319"/>
      <c r="O36" s="334">
        <v>8</v>
      </c>
      <c r="P36" s="334"/>
      <c r="Q36" s="312"/>
      <c r="R36" s="312"/>
      <c r="S36" s="311"/>
      <c r="T36" s="311"/>
      <c r="U36" s="312"/>
      <c r="V36" s="312"/>
      <c r="W36" s="311"/>
      <c r="X36" s="311"/>
      <c r="Y36" s="306"/>
      <c r="Z36" s="306"/>
      <c r="AA36" s="144"/>
    </row>
    <row r="37" spans="1:27" ht="15">
      <c r="A37" s="208" t="s">
        <v>128</v>
      </c>
      <c r="B37" s="319"/>
      <c r="C37" s="319"/>
      <c r="D37" s="319"/>
      <c r="E37" s="320"/>
      <c r="F37" s="319"/>
      <c r="G37" s="320"/>
      <c r="H37" s="319"/>
      <c r="I37" s="320"/>
      <c r="J37" s="319"/>
      <c r="K37" s="320"/>
      <c r="L37" s="319"/>
      <c r="M37" s="319"/>
      <c r="N37" s="319"/>
      <c r="O37" s="334">
        <v>9</v>
      </c>
      <c r="P37" s="334"/>
      <c r="Q37" s="312"/>
      <c r="R37" s="312"/>
      <c r="S37" s="311"/>
      <c r="T37" s="311"/>
      <c r="U37" s="312"/>
      <c r="V37" s="312"/>
      <c r="W37" s="311"/>
      <c r="X37" s="311"/>
      <c r="Y37" s="306"/>
      <c r="Z37" s="306"/>
      <c r="AA37" s="144"/>
    </row>
    <row r="38" spans="1:27" ht="15">
      <c r="A38" s="208" t="s">
        <v>129</v>
      </c>
      <c r="B38" s="319"/>
      <c r="C38" s="319"/>
      <c r="D38" s="319"/>
      <c r="E38" s="320"/>
      <c r="F38" s="319"/>
      <c r="G38" s="320"/>
      <c r="H38" s="319"/>
      <c r="I38" s="320"/>
      <c r="J38" s="319"/>
      <c r="K38" s="320"/>
      <c r="L38" s="319"/>
      <c r="M38" s="319"/>
      <c r="N38" s="319"/>
      <c r="O38" s="334" t="s">
        <v>1</v>
      </c>
      <c r="P38" s="334"/>
      <c r="Q38" s="312"/>
      <c r="R38" s="312"/>
      <c r="S38" s="311"/>
      <c r="T38" s="311"/>
      <c r="U38" s="312"/>
      <c r="V38" s="312"/>
      <c r="W38" s="311"/>
      <c r="X38" s="311"/>
      <c r="Y38" s="306"/>
      <c r="Z38" s="306"/>
      <c r="AA38" s="144"/>
    </row>
    <row r="39" spans="1:27" ht="15">
      <c r="A39" s="208" t="s">
        <v>130</v>
      </c>
      <c r="B39" s="319"/>
      <c r="C39" s="319"/>
      <c r="D39" s="319"/>
      <c r="E39" s="320"/>
      <c r="F39" s="319"/>
      <c r="G39" s="320"/>
      <c r="H39" s="319"/>
      <c r="I39" s="320"/>
      <c r="J39" s="319"/>
      <c r="K39" s="320"/>
      <c r="L39" s="319"/>
      <c r="M39" s="319"/>
      <c r="N39" s="319"/>
      <c r="O39" s="334" t="s">
        <v>2</v>
      </c>
      <c r="P39" s="334"/>
      <c r="Q39" s="312"/>
      <c r="R39" s="312"/>
      <c r="S39" s="311"/>
      <c r="T39" s="311"/>
      <c r="U39" s="312"/>
      <c r="V39" s="312"/>
      <c r="W39" s="311"/>
      <c r="X39" s="311"/>
      <c r="Y39" s="306"/>
      <c r="Z39" s="306"/>
      <c r="AA39" s="144"/>
    </row>
    <row r="40" spans="1:27" ht="15">
      <c r="A40" s="208" t="s">
        <v>131</v>
      </c>
      <c r="B40" s="319"/>
      <c r="C40" s="319"/>
      <c r="D40" s="319"/>
      <c r="E40" s="320"/>
      <c r="F40" s="319"/>
      <c r="G40" s="320"/>
      <c r="H40" s="319"/>
      <c r="I40" s="320"/>
      <c r="J40" s="319"/>
      <c r="K40" s="320"/>
      <c r="L40" s="319"/>
      <c r="M40" s="319"/>
      <c r="N40" s="319"/>
      <c r="O40" s="334" t="s">
        <v>3</v>
      </c>
      <c r="P40" s="334"/>
      <c r="Q40" s="312"/>
      <c r="R40" s="312"/>
      <c r="S40" s="311"/>
      <c r="T40" s="311"/>
      <c r="U40" s="312"/>
      <c r="V40" s="312"/>
      <c r="W40" s="311"/>
      <c r="X40" s="311"/>
      <c r="Y40" s="306"/>
      <c r="Z40" s="306"/>
      <c r="AA40" s="144"/>
    </row>
    <row r="41" spans="1:27" ht="15">
      <c r="A41" s="209" t="s">
        <v>132</v>
      </c>
      <c r="B41" s="319"/>
      <c r="C41" s="319" t="s">
        <v>133</v>
      </c>
      <c r="D41" s="319"/>
      <c r="E41" s="320"/>
      <c r="F41" s="319"/>
      <c r="G41" s="320"/>
      <c r="H41" s="319"/>
      <c r="I41" s="320"/>
      <c r="J41" s="319"/>
      <c r="K41" s="320"/>
      <c r="L41" s="319"/>
      <c r="M41" s="319"/>
      <c r="N41" s="319"/>
      <c r="O41" s="334" t="s">
        <v>26</v>
      </c>
      <c r="P41" s="334"/>
      <c r="Q41" s="312"/>
      <c r="R41" s="312"/>
      <c r="S41" s="311"/>
      <c r="T41" s="311"/>
      <c r="U41" s="312"/>
      <c r="V41" s="312"/>
      <c r="W41" s="311"/>
      <c r="X41" s="311"/>
      <c r="Y41" s="306"/>
      <c r="Z41" s="306"/>
      <c r="AA41" s="144"/>
    </row>
    <row r="42" spans="1:27" ht="15">
      <c r="A42" s="208" t="s">
        <v>134</v>
      </c>
      <c r="B42" s="319"/>
      <c r="C42" s="319"/>
      <c r="D42" s="319"/>
      <c r="E42" s="320"/>
      <c r="F42" s="319"/>
      <c r="G42" s="320"/>
      <c r="H42" s="319"/>
      <c r="I42" s="320"/>
      <c r="J42" s="319"/>
      <c r="K42" s="320"/>
      <c r="L42" s="319"/>
      <c r="M42" s="319"/>
      <c r="N42" s="319"/>
      <c r="O42" s="334" t="s">
        <v>31</v>
      </c>
      <c r="P42" s="334"/>
      <c r="Q42" s="312"/>
      <c r="R42" s="312"/>
      <c r="S42" s="311"/>
      <c r="T42" s="311"/>
      <c r="U42" s="312"/>
      <c r="V42" s="312"/>
      <c r="W42" s="311"/>
      <c r="X42" s="311"/>
      <c r="Y42" s="306"/>
      <c r="Z42" s="306"/>
      <c r="AA42" s="144"/>
    </row>
    <row r="43" spans="1:27" ht="15">
      <c r="A43" s="201" t="s">
        <v>135</v>
      </c>
      <c r="B43" s="106"/>
      <c r="C43" s="306"/>
      <c r="D43" s="306"/>
      <c r="E43" s="309"/>
      <c r="F43" s="306"/>
      <c r="G43" s="309"/>
      <c r="H43" s="306"/>
      <c r="I43" s="309"/>
      <c r="J43" s="306"/>
      <c r="K43" s="309"/>
      <c r="L43" s="306"/>
      <c r="M43" s="306"/>
      <c r="N43" s="306"/>
      <c r="O43" s="306"/>
      <c r="P43" s="306"/>
      <c r="Q43" s="312"/>
      <c r="R43" s="312"/>
      <c r="S43" s="311"/>
      <c r="T43" s="311"/>
      <c r="U43" s="312"/>
      <c r="V43" s="312"/>
      <c r="W43" s="311"/>
      <c r="X43" s="311"/>
      <c r="Y43" s="306"/>
      <c r="Z43" s="306"/>
      <c r="AA43" s="144"/>
    </row>
    <row r="44" spans="1:27" ht="15">
      <c r="A44" s="204" t="s">
        <v>79</v>
      </c>
      <c r="B44" s="315"/>
      <c r="C44" s="315"/>
      <c r="D44" s="315"/>
      <c r="E44" s="316"/>
      <c r="F44" s="315"/>
      <c r="G44" s="316"/>
      <c r="H44" s="315"/>
      <c r="I44" s="316"/>
      <c r="J44" s="315"/>
      <c r="K44" s="316"/>
      <c r="L44" s="315"/>
      <c r="M44" s="315"/>
      <c r="N44" s="315"/>
      <c r="O44" s="315"/>
      <c r="P44" s="315"/>
      <c r="Q44" s="335">
        <v>2</v>
      </c>
      <c r="R44" s="335"/>
      <c r="S44" s="311"/>
      <c r="T44" s="311"/>
      <c r="U44" s="312"/>
      <c r="V44" s="312"/>
      <c r="W44" s="311"/>
      <c r="X44" s="311"/>
      <c r="Y44" s="306"/>
      <c r="Z44" s="306"/>
      <c r="AA44" s="144"/>
    </row>
    <row r="45" spans="1:27" ht="15">
      <c r="A45" s="205" t="s">
        <v>136</v>
      </c>
      <c r="B45" s="319"/>
      <c r="C45" s="319"/>
      <c r="D45" s="319"/>
      <c r="E45" s="320"/>
      <c r="F45" s="319"/>
      <c r="G45" s="320"/>
      <c r="H45" s="319"/>
      <c r="I45" s="320"/>
      <c r="J45" s="319"/>
      <c r="K45" s="320"/>
      <c r="L45" s="319"/>
      <c r="M45" s="319"/>
      <c r="N45" s="319"/>
      <c r="O45" s="319"/>
      <c r="P45" s="319"/>
      <c r="Q45" s="334">
        <v>3</v>
      </c>
      <c r="R45" s="334"/>
      <c r="S45" s="311"/>
      <c r="T45" s="311"/>
      <c r="U45" s="312"/>
      <c r="V45" s="312"/>
      <c r="W45" s="311"/>
      <c r="X45" s="311"/>
      <c r="Y45" s="306"/>
      <c r="Z45" s="306"/>
      <c r="AA45" s="144"/>
    </row>
    <row r="46" spans="1:27" ht="27" customHeight="1">
      <c r="A46" s="337" t="s">
        <v>137</v>
      </c>
      <c r="B46" s="337"/>
      <c r="C46" s="198"/>
      <c r="D46" s="306"/>
      <c r="E46" s="309"/>
      <c r="F46" s="306"/>
      <c r="G46" s="309"/>
      <c r="H46" s="306"/>
      <c r="I46" s="309"/>
      <c r="J46" s="306"/>
      <c r="K46" s="309"/>
      <c r="L46" s="306"/>
      <c r="M46" s="306"/>
      <c r="N46" s="306"/>
      <c r="O46" s="306"/>
      <c r="P46" s="306"/>
      <c r="Q46" s="306"/>
      <c r="R46" s="306"/>
      <c r="S46" s="311"/>
      <c r="T46" s="311"/>
      <c r="U46" s="312"/>
      <c r="V46" s="312"/>
      <c r="W46" s="311"/>
      <c r="X46" s="311"/>
      <c r="Y46" s="306"/>
      <c r="Z46" s="306"/>
      <c r="AA46" s="144"/>
    </row>
    <row r="47" spans="1:27" ht="15">
      <c r="A47" s="204" t="s">
        <v>105</v>
      </c>
      <c r="B47" s="315"/>
      <c r="C47" s="315"/>
      <c r="D47" s="315"/>
      <c r="E47" s="316"/>
      <c r="F47" s="315"/>
      <c r="G47" s="316"/>
      <c r="H47" s="315"/>
      <c r="I47" s="316"/>
      <c r="J47" s="315"/>
      <c r="K47" s="316"/>
      <c r="L47" s="315"/>
      <c r="M47" s="315"/>
      <c r="N47" s="315"/>
      <c r="O47" s="315"/>
      <c r="P47" s="315"/>
      <c r="Q47" s="315"/>
      <c r="R47" s="315"/>
      <c r="S47" s="335">
        <v>0</v>
      </c>
      <c r="T47" s="335"/>
      <c r="U47" s="312"/>
      <c r="V47" s="312"/>
      <c r="W47" s="311"/>
      <c r="X47" s="311"/>
      <c r="Y47" s="306"/>
      <c r="Z47" s="306"/>
      <c r="AA47" s="144"/>
    </row>
    <row r="48" spans="1:27" ht="15">
      <c r="A48" s="205" t="s">
        <v>138</v>
      </c>
      <c r="B48" s="319"/>
      <c r="C48" s="319"/>
      <c r="D48" s="319"/>
      <c r="E48" s="320"/>
      <c r="F48" s="319"/>
      <c r="G48" s="320"/>
      <c r="H48" s="319"/>
      <c r="I48" s="320"/>
      <c r="J48" s="319"/>
      <c r="K48" s="320"/>
      <c r="L48" s="319"/>
      <c r="M48" s="319"/>
      <c r="N48" s="319"/>
      <c r="O48" s="319"/>
      <c r="P48" s="319"/>
      <c r="Q48" s="319"/>
      <c r="R48" s="319"/>
      <c r="S48" s="334">
        <v>1</v>
      </c>
      <c r="T48" s="334"/>
      <c r="U48" s="312"/>
      <c r="V48" s="312"/>
      <c r="W48" s="311"/>
      <c r="X48" s="311"/>
      <c r="Y48" s="306"/>
      <c r="Z48" s="306"/>
      <c r="AA48" s="144"/>
    </row>
    <row r="49" spans="1:27" ht="15">
      <c r="A49" s="205" t="s">
        <v>139</v>
      </c>
      <c r="B49" s="319"/>
      <c r="C49" s="319"/>
      <c r="D49" s="319"/>
      <c r="E49" s="320"/>
      <c r="F49" s="319"/>
      <c r="G49" s="320"/>
      <c r="H49" s="319"/>
      <c r="I49" s="320"/>
      <c r="J49" s="319"/>
      <c r="K49" s="320"/>
      <c r="L49" s="319"/>
      <c r="M49" s="319"/>
      <c r="N49" s="319"/>
      <c r="O49" s="319"/>
      <c r="P49" s="319"/>
      <c r="Q49" s="319"/>
      <c r="R49" s="319"/>
      <c r="S49" s="334">
        <v>3</v>
      </c>
      <c r="T49" s="334"/>
      <c r="U49" s="312"/>
      <c r="V49" s="312"/>
      <c r="W49" s="311"/>
      <c r="X49" s="311"/>
      <c r="Y49" s="306"/>
      <c r="Z49" s="306"/>
      <c r="AA49" s="144"/>
    </row>
    <row r="50" spans="1:27" ht="15">
      <c r="A50" s="205" t="s">
        <v>140</v>
      </c>
      <c r="B50" s="319"/>
      <c r="C50" s="319"/>
      <c r="D50" s="319"/>
      <c r="E50" s="320"/>
      <c r="F50" s="319"/>
      <c r="G50" s="320"/>
      <c r="H50" s="319"/>
      <c r="I50" s="320"/>
      <c r="J50" s="319"/>
      <c r="K50" s="320"/>
      <c r="L50" s="319"/>
      <c r="M50" s="319"/>
      <c r="N50" s="319"/>
      <c r="O50" s="319"/>
      <c r="P50" s="319"/>
      <c r="Q50" s="319"/>
      <c r="R50" s="319"/>
      <c r="S50" s="334" t="s">
        <v>1</v>
      </c>
      <c r="T50" s="334"/>
      <c r="U50" s="312"/>
      <c r="V50" s="312"/>
      <c r="W50" s="311"/>
      <c r="X50" s="311"/>
      <c r="Y50" s="306"/>
      <c r="Z50" s="306"/>
      <c r="AA50" s="144"/>
    </row>
    <row r="51" spans="1:27" ht="15">
      <c r="A51" s="211" t="s">
        <v>141</v>
      </c>
      <c r="B51" s="306"/>
      <c r="C51" s="198"/>
      <c r="D51" s="306"/>
      <c r="E51" s="309"/>
      <c r="F51" s="306"/>
      <c r="G51" s="309"/>
      <c r="H51" s="306"/>
      <c r="I51" s="309"/>
      <c r="J51" s="306"/>
      <c r="K51" s="309"/>
      <c r="L51" s="306"/>
      <c r="M51" s="306"/>
      <c r="N51" s="306"/>
      <c r="O51" s="306"/>
      <c r="P51" s="306"/>
      <c r="Q51" s="306"/>
      <c r="R51" s="306"/>
      <c r="S51" s="106"/>
      <c r="T51" s="106"/>
      <c r="U51" s="312"/>
      <c r="V51" s="312"/>
      <c r="W51" s="311"/>
      <c r="X51" s="311"/>
      <c r="Y51" s="306"/>
      <c r="Z51" s="306"/>
      <c r="AA51" s="144"/>
    </row>
    <row r="52" spans="1:27" ht="15">
      <c r="A52" s="204" t="s">
        <v>105</v>
      </c>
      <c r="B52" s="315"/>
      <c r="C52" s="315"/>
      <c r="D52" s="315"/>
      <c r="E52" s="316"/>
      <c r="F52" s="315"/>
      <c r="G52" s="316"/>
      <c r="H52" s="315"/>
      <c r="I52" s="316"/>
      <c r="J52" s="315"/>
      <c r="K52" s="316"/>
      <c r="L52" s="315"/>
      <c r="M52" s="315"/>
      <c r="N52" s="315"/>
      <c r="O52" s="315"/>
      <c r="P52" s="315"/>
      <c r="Q52" s="315"/>
      <c r="R52" s="315"/>
      <c r="S52" s="315"/>
      <c r="T52" s="315"/>
      <c r="U52" s="335">
        <v>0</v>
      </c>
      <c r="V52" s="335"/>
      <c r="W52" s="311"/>
      <c r="X52" s="311"/>
      <c r="Y52" s="306"/>
      <c r="Z52" s="306"/>
      <c r="AA52" s="144"/>
    </row>
    <row r="53" spans="1:27" ht="15">
      <c r="A53" s="205" t="s">
        <v>142</v>
      </c>
      <c r="B53" s="319"/>
      <c r="C53" s="319"/>
      <c r="D53" s="319"/>
      <c r="E53" s="320"/>
      <c r="F53" s="319"/>
      <c r="G53" s="320"/>
      <c r="H53" s="319"/>
      <c r="I53" s="320"/>
      <c r="J53" s="319"/>
      <c r="K53" s="320"/>
      <c r="L53" s="319"/>
      <c r="M53" s="319"/>
      <c r="N53" s="319"/>
      <c r="O53" s="319"/>
      <c r="P53" s="319"/>
      <c r="Q53" s="319"/>
      <c r="R53" s="319"/>
      <c r="S53" s="319"/>
      <c r="T53" s="319"/>
      <c r="U53" s="334">
        <v>2</v>
      </c>
      <c r="V53" s="334"/>
      <c r="W53" s="311"/>
      <c r="X53" s="311"/>
      <c r="Y53" s="306"/>
      <c r="Z53" s="306"/>
      <c r="AA53" s="144"/>
    </row>
    <row r="54" spans="1:27" ht="15">
      <c r="A54" s="201" t="s">
        <v>143</v>
      </c>
      <c r="B54" s="306"/>
      <c r="C54" s="306"/>
      <c r="D54" s="306"/>
      <c r="E54" s="309"/>
      <c r="F54" s="306"/>
      <c r="G54" s="309"/>
      <c r="H54" s="306"/>
      <c r="I54" s="309"/>
      <c r="J54" s="306"/>
      <c r="K54" s="309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11"/>
      <c r="X54" s="311"/>
      <c r="Y54" s="306"/>
      <c r="Z54" s="306"/>
      <c r="AA54" s="144"/>
    </row>
    <row r="55" spans="1:27" ht="15">
      <c r="A55" s="206"/>
      <c r="B55" s="315"/>
      <c r="C55" s="315"/>
      <c r="D55" s="315"/>
      <c r="E55" s="316"/>
      <c r="F55" s="315"/>
      <c r="G55" s="316"/>
      <c r="H55" s="315"/>
      <c r="I55" s="316"/>
      <c r="J55" s="315"/>
      <c r="K55" s="316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36" t="s">
        <v>80</v>
      </c>
      <c r="X55" s="336"/>
      <c r="Y55" s="306"/>
      <c r="Z55" s="306"/>
      <c r="AA55" s="144"/>
    </row>
    <row r="56" spans="1:27" ht="15">
      <c r="A56" s="201" t="s">
        <v>144</v>
      </c>
      <c r="B56" s="306"/>
      <c r="C56" s="306"/>
      <c r="D56" s="306"/>
      <c r="E56" s="309"/>
      <c r="F56" s="306"/>
      <c r="G56" s="309"/>
      <c r="H56" s="306"/>
      <c r="I56" s="309"/>
      <c r="J56" s="306"/>
      <c r="K56" s="309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144"/>
    </row>
    <row r="57" spans="1:27" ht="14.25">
      <c r="A57" s="210" t="s">
        <v>145</v>
      </c>
      <c r="B57" s="306"/>
      <c r="C57" s="306"/>
      <c r="D57" s="306"/>
      <c r="E57" s="309"/>
      <c r="F57" s="306"/>
      <c r="G57" s="309"/>
      <c r="H57" s="306"/>
      <c r="I57" s="309"/>
      <c r="J57" s="306"/>
      <c r="K57" s="309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144"/>
    </row>
    <row r="58" spans="1:27" ht="14.25">
      <c r="A58" s="17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306"/>
      <c r="Z58" s="144"/>
      <c r="AA58" s="144"/>
    </row>
    <row r="59" spans="1:27" ht="14.2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</row>
    <row r="60" spans="1:26" ht="14.2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</row>
    <row r="61" ht="14.25">
      <c r="Y61" s="144"/>
    </row>
  </sheetData>
  <sheetProtection password="DFED" sheet="1" objects="1" scenarios="1"/>
  <mergeCells count="49">
    <mergeCell ref="U6:V6"/>
    <mergeCell ref="W6:X6"/>
    <mergeCell ref="E9:F9"/>
    <mergeCell ref="G11:H11"/>
    <mergeCell ref="E6:F6"/>
    <mergeCell ref="G6:H6"/>
    <mergeCell ref="I6:J6"/>
    <mergeCell ref="K6:L6"/>
    <mergeCell ref="M6:N6"/>
    <mergeCell ref="O6:P6"/>
    <mergeCell ref="O29:P29"/>
    <mergeCell ref="K18:L18"/>
    <mergeCell ref="K19:L19"/>
    <mergeCell ref="Q6:R6"/>
    <mergeCell ref="S6:T6"/>
    <mergeCell ref="I13:J13"/>
    <mergeCell ref="I14:J14"/>
    <mergeCell ref="I15:J15"/>
    <mergeCell ref="I16:J16"/>
    <mergeCell ref="O39:P39"/>
    <mergeCell ref="O32:P32"/>
    <mergeCell ref="O33:P33"/>
    <mergeCell ref="K20:L20"/>
    <mergeCell ref="K21:L21"/>
    <mergeCell ref="M23:N23"/>
    <mergeCell ref="M24:N24"/>
    <mergeCell ref="M25:N25"/>
    <mergeCell ref="M26:N26"/>
    <mergeCell ref="O28:P28"/>
    <mergeCell ref="U52:V52"/>
    <mergeCell ref="O30:P30"/>
    <mergeCell ref="O31:P31"/>
    <mergeCell ref="Q45:R45"/>
    <mergeCell ref="A46:B46"/>
    <mergeCell ref="O34:P34"/>
    <mergeCell ref="O35:P35"/>
    <mergeCell ref="O36:P36"/>
    <mergeCell ref="O37:P37"/>
    <mergeCell ref="O38:P38"/>
    <mergeCell ref="U53:V53"/>
    <mergeCell ref="O40:P40"/>
    <mergeCell ref="O41:P41"/>
    <mergeCell ref="O42:P42"/>
    <mergeCell ref="Q44:R44"/>
    <mergeCell ref="W55:X55"/>
    <mergeCell ref="S47:T47"/>
    <mergeCell ref="S48:T48"/>
    <mergeCell ref="S49:T49"/>
    <mergeCell ref="S50:T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32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30" sqref="A30"/>
    </sheetView>
  </sheetViews>
  <sheetFormatPr defaultColWidth="9.140625" defaultRowHeight="12.75"/>
  <cols>
    <col min="1" max="1" width="79.8515625" style="2" customWidth="1"/>
    <col min="2" max="2" width="8.57421875" style="2" customWidth="1"/>
    <col min="3" max="3" width="3.140625" style="2" bestFit="1" customWidth="1"/>
    <col min="4" max="5" width="2.8515625" style="2" bestFit="1" customWidth="1"/>
    <col min="6" max="6" width="3.140625" style="2" bestFit="1" customWidth="1"/>
    <col min="7" max="8" width="2.8515625" style="2" bestFit="1" customWidth="1"/>
    <col min="9" max="11" width="2.8515625" style="19" customWidth="1"/>
    <col min="12" max="12" width="2.8515625" style="2" bestFit="1" customWidth="1"/>
    <col min="13" max="13" width="3.140625" style="2" bestFit="1" customWidth="1"/>
    <col min="14" max="14" width="12.7109375" style="2" customWidth="1"/>
    <col min="15" max="16384" width="9.140625" style="2" customWidth="1"/>
  </cols>
  <sheetData>
    <row r="1" spans="1:14" ht="24">
      <c r="A1" s="176" t="s">
        <v>100</v>
      </c>
      <c r="B1" s="177" t="s">
        <v>81</v>
      </c>
      <c r="I1" s="2"/>
      <c r="K1" s="2"/>
      <c r="N1" s="174"/>
    </row>
    <row r="2" spans="2:14" ht="18.75">
      <c r="B2" s="328" t="s">
        <v>101</v>
      </c>
      <c r="I2" s="2"/>
      <c r="K2" s="2"/>
      <c r="N2" s="174"/>
    </row>
    <row r="3" spans="1:13" s="3" customFormat="1" ht="18.75" thickBot="1">
      <c r="A3" s="179"/>
      <c r="B3" s="171"/>
      <c r="C3" s="171"/>
      <c r="D3" s="172"/>
      <c r="E3" s="172"/>
      <c r="F3" s="172"/>
      <c r="G3" s="172"/>
      <c r="H3" s="172"/>
      <c r="I3" s="172"/>
      <c r="J3" s="173"/>
      <c r="K3" s="172"/>
      <c r="L3" s="172"/>
      <c r="M3" s="172"/>
    </row>
    <row r="4" spans="1:13" s="5" customFormat="1" ht="12" thickBot="1">
      <c r="A4" s="180"/>
      <c r="B4" s="12" t="s">
        <v>54</v>
      </c>
      <c r="C4" s="15">
        <v>5</v>
      </c>
      <c r="D4" s="15">
        <v>6</v>
      </c>
      <c r="E4" s="16">
        <v>7</v>
      </c>
      <c r="F4" s="16">
        <v>8</v>
      </c>
      <c r="G4" s="16">
        <v>9</v>
      </c>
      <c r="H4" s="16">
        <v>10</v>
      </c>
      <c r="I4" s="18">
        <v>11</v>
      </c>
      <c r="J4" s="18">
        <v>12</v>
      </c>
      <c r="K4" s="18">
        <v>13</v>
      </c>
      <c r="L4" s="16">
        <v>14</v>
      </c>
      <c r="M4" s="160">
        <v>15</v>
      </c>
    </row>
    <row r="5" spans="1:13" s="3" customFormat="1" ht="18.75" thickBot="1">
      <c r="A5" s="145" t="s">
        <v>102</v>
      </c>
      <c r="B5" s="34" t="s">
        <v>52</v>
      </c>
      <c r="C5" s="162" t="str">
        <f>B9</f>
        <v>C</v>
      </c>
      <c r="D5" s="35">
        <f>B11</f>
        <v>0</v>
      </c>
      <c r="E5" s="162">
        <f>$B$13</f>
        <v>0</v>
      </c>
      <c r="F5" s="162" t="str">
        <f>$B$15</f>
        <v>Z</v>
      </c>
      <c r="G5" s="163">
        <f>$B$17</f>
        <v>1</v>
      </c>
      <c r="H5" s="162" t="str">
        <f>$B$19</f>
        <v>*</v>
      </c>
      <c r="I5" s="164" t="str">
        <f>$B$21</f>
        <v>2</v>
      </c>
      <c r="J5" s="164" t="str">
        <f>B23</f>
        <v>0</v>
      </c>
      <c r="K5" s="164">
        <f>B25</f>
        <v>0</v>
      </c>
      <c r="L5" s="165" t="str">
        <f>IF($I$5=1,"",MID(B27,1,1))</f>
        <v>B</v>
      </c>
      <c r="M5" s="166" t="str">
        <f>IF($I$5=1,"",MID(B27,2,1))</f>
        <v>C</v>
      </c>
    </row>
    <row r="6" spans="1:17" ht="39.75" customHeight="1" hidden="1">
      <c r="A6" s="20" t="s">
        <v>28</v>
      </c>
      <c r="B6" s="17">
        <f ca="1">TODAY()</f>
        <v>43160</v>
      </c>
      <c r="C6" s="132"/>
      <c r="D6" s="86"/>
      <c r="E6" s="88"/>
      <c r="F6" s="115"/>
      <c r="G6" s="90"/>
      <c r="H6" s="116"/>
      <c r="I6" s="36"/>
      <c r="J6" s="143"/>
      <c r="K6" s="87"/>
      <c r="L6" s="88"/>
      <c r="M6" s="161"/>
      <c r="N6" s="3"/>
      <c r="O6" s="3"/>
      <c r="P6" s="3"/>
      <c r="Q6" s="3"/>
    </row>
    <row r="7" spans="1:13" s="3" customFormat="1" ht="18">
      <c r="A7" s="146" t="s">
        <v>147</v>
      </c>
      <c r="B7" s="147" t="str">
        <f>CONCATENATE("E220",C5,D5,E5,F5,G5,H5,I5,J5,K5,L5,M5)</f>
        <v>E220C00Z1*200BC</v>
      </c>
      <c r="C7" s="148"/>
      <c r="D7" s="149"/>
      <c r="E7" s="150"/>
      <c r="F7" s="151"/>
      <c r="G7" s="152"/>
      <c r="H7" s="153"/>
      <c r="I7" s="253"/>
      <c r="J7" s="256"/>
      <c r="K7" s="264"/>
      <c r="L7" s="269"/>
      <c r="M7" s="270"/>
    </row>
    <row r="8" spans="1:13" s="3" customFormat="1" ht="18">
      <c r="A8" s="98" t="s">
        <v>103</v>
      </c>
      <c r="B8" s="212"/>
      <c r="C8" s="213"/>
      <c r="D8" s="216"/>
      <c r="E8" s="221"/>
      <c r="F8" s="229"/>
      <c r="G8" s="237"/>
      <c r="H8" s="216"/>
      <c r="I8" s="237"/>
      <c r="J8" s="216"/>
      <c r="K8" s="237"/>
      <c r="L8" s="269"/>
      <c r="M8" s="270"/>
    </row>
    <row r="9" spans="1:13" ht="18">
      <c r="A9" s="131" t="s">
        <v>148</v>
      </c>
      <c r="B9" s="167" t="s">
        <v>3</v>
      </c>
      <c r="C9" s="214"/>
      <c r="D9" s="217"/>
      <c r="E9" s="222"/>
      <c r="F9" s="230"/>
      <c r="G9" s="223"/>
      <c r="H9" s="231"/>
      <c r="I9" s="223"/>
      <c r="J9" s="231"/>
      <c r="K9" s="223"/>
      <c r="L9" s="269"/>
      <c r="M9" s="270"/>
    </row>
    <row r="10" spans="1:13" s="3" customFormat="1" ht="18">
      <c r="A10" s="98" t="s">
        <v>104</v>
      </c>
      <c r="B10" s="215"/>
      <c r="C10" s="220"/>
      <c r="D10" s="216"/>
      <c r="E10" s="221"/>
      <c r="F10" s="229"/>
      <c r="G10" s="237"/>
      <c r="H10" s="216"/>
      <c r="I10" s="237"/>
      <c r="J10" s="216"/>
      <c r="K10" s="237"/>
      <c r="L10" s="269"/>
      <c r="M10" s="270"/>
    </row>
    <row r="11" spans="1:13" ht="18">
      <c r="A11" s="131" t="s">
        <v>105</v>
      </c>
      <c r="B11" s="167">
        <v>0</v>
      </c>
      <c r="C11" s="219"/>
      <c r="D11" s="218"/>
      <c r="E11" s="222"/>
      <c r="F11" s="230"/>
      <c r="G11" s="223"/>
      <c r="H11" s="231"/>
      <c r="I11" s="223"/>
      <c r="J11" s="231"/>
      <c r="K11" s="223"/>
      <c r="L11" s="269"/>
      <c r="M11" s="270"/>
    </row>
    <row r="12" spans="1:13" ht="18">
      <c r="A12" s="98" t="s">
        <v>106</v>
      </c>
      <c r="B12" s="227"/>
      <c r="C12" s="228"/>
      <c r="D12" s="221"/>
      <c r="E12" s="223"/>
      <c r="F12" s="231"/>
      <c r="G12" s="223"/>
      <c r="H12" s="231"/>
      <c r="I12" s="223"/>
      <c r="J12" s="231"/>
      <c r="K12" s="223"/>
      <c r="L12" s="269"/>
      <c r="M12" s="270"/>
    </row>
    <row r="13" spans="1:13" ht="41.25" customHeight="1">
      <c r="A13" s="111"/>
      <c r="B13" s="167">
        <f>VLOOKUP(Tendering!$B$9,Database!$A$12:$C$16,3)</f>
        <v>0</v>
      </c>
      <c r="C13" s="225"/>
      <c r="D13" s="226"/>
      <c r="E13" s="224"/>
      <c r="F13" s="231"/>
      <c r="G13" s="223"/>
      <c r="H13" s="231"/>
      <c r="I13" s="223"/>
      <c r="J13" s="231"/>
      <c r="K13" s="223"/>
      <c r="L13" s="269"/>
      <c r="M13" s="270"/>
    </row>
    <row r="14" spans="1:13" ht="18">
      <c r="A14" s="98" t="s">
        <v>149</v>
      </c>
      <c r="B14" s="234"/>
      <c r="C14" s="235"/>
      <c r="D14" s="235"/>
      <c r="E14" s="235"/>
      <c r="F14" s="232"/>
      <c r="G14" s="223"/>
      <c r="H14" s="231"/>
      <c r="I14" s="223"/>
      <c r="J14" s="231"/>
      <c r="K14" s="223"/>
      <c r="L14" s="269"/>
      <c r="M14" s="270"/>
    </row>
    <row r="15" spans="1:13" ht="31.5" customHeight="1">
      <c r="A15" s="10"/>
      <c r="B15" s="167" t="str">
        <f>VLOOKUP(Tendering!$B$11,Database!$A$23:$C$25,3)</f>
        <v>Z</v>
      </c>
      <c r="C15" s="236"/>
      <c r="D15" s="236"/>
      <c r="E15" s="236"/>
      <c r="F15" s="233"/>
      <c r="G15" s="223"/>
      <c r="H15" s="231"/>
      <c r="I15" s="223"/>
      <c r="J15" s="231"/>
      <c r="K15" s="223"/>
      <c r="L15" s="269"/>
      <c r="M15" s="270"/>
    </row>
    <row r="16" spans="1:13" ht="18.75" customHeight="1">
      <c r="A16" s="97" t="s">
        <v>113</v>
      </c>
      <c r="B16" s="238"/>
      <c r="C16" s="239"/>
      <c r="D16" s="239"/>
      <c r="E16" s="239"/>
      <c r="F16" s="239"/>
      <c r="G16" s="223"/>
      <c r="H16" s="231"/>
      <c r="I16" s="223"/>
      <c r="J16" s="231"/>
      <c r="K16" s="223"/>
      <c r="L16" s="269"/>
      <c r="M16" s="270"/>
    </row>
    <row r="17" spans="1:13" ht="42" customHeight="1">
      <c r="A17" s="99"/>
      <c r="B17" s="167">
        <f>VLOOKUP(Tendering!$B$12,Database!$A$28:$C$31,3,FALSE)</f>
        <v>1</v>
      </c>
      <c r="C17" s="240"/>
      <c r="D17" s="240"/>
      <c r="E17" s="240"/>
      <c r="F17" s="240"/>
      <c r="G17" s="224"/>
      <c r="H17" s="231"/>
      <c r="I17" s="223"/>
      <c r="J17" s="231"/>
      <c r="K17" s="223"/>
      <c r="L17" s="269"/>
      <c r="M17" s="270"/>
    </row>
    <row r="18" spans="1:13" s="3" customFormat="1" ht="18">
      <c r="A18" s="97" t="s">
        <v>118</v>
      </c>
      <c r="B18" s="241"/>
      <c r="C18" s="242"/>
      <c r="D18" s="242"/>
      <c r="E18" s="243"/>
      <c r="F18" s="244"/>
      <c r="G18" s="243"/>
      <c r="H18" s="216"/>
      <c r="I18" s="237"/>
      <c r="J18" s="216"/>
      <c r="K18" s="237"/>
      <c r="L18" s="243"/>
      <c r="M18" s="271"/>
    </row>
    <row r="19" spans="1:13" s="3" customFormat="1" ht="148.5" customHeight="1">
      <c r="A19" s="100"/>
      <c r="B19" s="167" t="str">
        <f>VLOOKUP(Tendering!$B$13,Database!$A$34:$C$48,3,FALSE)</f>
        <v>*</v>
      </c>
      <c r="C19" s="245"/>
      <c r="D19" s="245"/>
      <c r="E19" s="246"/>
      <c r="F19" s="247"/>
      <c r="G19" s="246"/>
      <c r="H19" s="218"/>
      <c r="I19" s="254"/>
      <c r="J19" s="217"/>
      <c r="K19" s="237"/>
      <c r="L19" s="243"/>
      <c r="M19" s="271"/>
    </row>
    <row r="20" spans="1:13" s="3" customFormat="1" ht="18">
      <c r="A20" s="154" t="s">
        <v>135</v>
      </c>
      <c r="B20" s="251"/>
      <c r="C20" s="252"/>
      <c r="D20" s="252"/>
      <c r="E20" s="88"/>
      <c r="F20" s="88"/>
      <c r="G20" s="88"/>
      <c r="H20" s="88"/>
      <c r="I20" s="90"/>
      <c r="J20" s="87"/>
      <c r="K20" s="90"/>
      <c r="L20" s="116"/>
      <c r="M20" s="272"/>
    </row>
    <row r="21" spans="1:13" s="3" customFormat="1" ht="18">
      <c r="A21" s="170" t="str">
        <f>IF($B$19="D","Фаза II с крупным ЖК-дисплеем","Фаза II со стандартным дисплеем")</f>
        <v>Фаза II со стандартным дисплеем</v>
      </c>
      <c r="B21" s="167" t="str">
        <f>IF($B$19="D","3","2")</f>
        <v>2</v>
      </c>
      <c r="C21" s="248"/>
      <c r="D21" s="249"/>
      <c r="E21" s="250"/>
      <c r="F21" s="250"/>
      <c r="G21" s="250"/>
      <c r="H21" s="250"/>
      <c r="I21" s="255"/>
      <c r="J21" s="87"/>
      <c r="K21" s="90"/>
      <c r="L21" s="116"/>
      <c r="M21" s="272"/>
    </row>
    <row r="22" spans="1:13" s="3" customFormat="1" ht="18">
      <c r="A22" s="97" t="s">
        <v>137</v>
      </c>
      <c r="B22" s="257"/>
      <c r="C22" s="242"/>
      <c r="D22" s="242"/>
      <c r="E22" s="243"/>
      <c r="F22" s="244"/>
      <c r="G22" s="243"/>
      <c r="H22" s="243"/>
      <c r="I22" s="243"/>
      <c r="J22" s="216"/>
      <c r="K22" s="237"/>
      <c r="L22" s="243"/>
      <c r="M22" s="271"/>
    </row>
    <row r="23" spans="1:13" s="3" customFormat="1" ht="42" customHeight="1">
      <c r="A23" s="100"/>
      <c r="B23" s="167" t="str">
        <f>VLOOKUP(Tendering!$B$15,Database!$A$65:$C$68,3,FALSE)</f>
        <v>0</v>
      </c>
      <c r="C23" s="258"/>
      <c r="D23" s="245"/>
      <c r="E23" s="246"/>
      <c r="F23" s="247"/>
      <c r="G23" s="246"/>
      <c r="H23" s="246"/>
      <c r="I23" s="246"/>
      <c r="J23" s="218"/>
      <c r="K23" s="254"/>
      <c r="L23" s="243"/>
      <c r="M23" s="271"/>
    </row>
    <row r="24" spans="1:13" s="3" customFormat="1" ht="18">
      <c r="A24" s="97" t="s">
        <v>141</v>
      </c>
      <c r="B24" s="259"/>
      <c r="C24" s="260"/>
      <c r="D24" s="260"/>
      <c r="E24" s="261"/>
      <c r="F24" s="262"/>
      <c r="G24" s="261"/>
      <c r="H24" s="261"/>
      <c r="I24" s="261"/>
      <c r="J24" s="261"/>
      <c r="K24" s="237"/>
      <c r="L24" s="243"/>
      <c r="M24" s="271"/>
    </row>
    <row r="25" spans="1:13" s="3" customFormat="1" ht="23.25" customHeight="1">
      <c r="A25" s="100"/>
      <c r="B25" s="168">
        <f>VLOOKUP(Tendering!$B$16,Database!$A$71:$C$72,3,FALSE)</f>
        <v>0</v>
      </c>
      <c r="C25" s="248"/>
      <c r="D25" s="249"/>
      <c r="E25" s="226"/>
      <c r="F25" s="263"/>
      <c r="G25" s="226"/>
      <c r="H25" s="226"/>
      <c r="I25" s="226"/>
      <c r="J25" s="226"/>
      <c r="K25" s="265"/>
      <c r="L25" s="243"/>
      <c r="M25" s="271"/>
    </row>
    <row r="26" spans="1:13" s="3" customFormat="1" ht="18">
      <c r="A26" s="97" t="s">
        <v>143</v>
      </c>
      <c r="B26" s="241"/>
      <c r="C26" s="242"/>
      <c r="D26" s="242"/>
      <c r="E26" s="243"/>
      <c r="F26" s="244"/>
      <c r="G26" s="243"/>
      <c r="H26" s="243"/>
      <c r="I26" s="243"/>
      <c r="J26" s="243"/>
      <c r="K26" s="243"/>
      <c r="L26" s="243"/>
      <c r="M26" s="271"/>
    </row>
    <row r="27" spans="1:13" s="3" customFormat="1" ht="32.25" customHeight="1">
      <c r="A27" s="100"/>
      <c r="B27" s="169" t="str">
        <f>CONCATENATE(VLOOKUP(Tendering!$B$14,Database!$A$52:$E$54,4),VLOOKUP(Tendering!$B$14,Database!$A$52:$E$54,5))</f>
        <v>BC</v>
      </c>
      <c r="C27" s="266"/>
      <c r="D27" s="267"/>
      <c r="E27" s="267"/>
      <c r="F27" s="267"/>
      <c r="G27" s="267"/>
      <c r="H27" s="267"/>
      <c r="I27" s="267"/>
      <c r="J27" s="267"/>
      <c r="K27" s="267"/>
      <c r="L27" s="267"/>
      <c r="M27" s="268"/>
    </row>
    <row r="28" spans="1:14" ht="12.75">
      <c r="A28" s="181"/>
      <c r="B28" s="181"/>
      <c r="C28" s="174"/>
      <c r="D28" s="174"/>
      <c r="E28" s="174"/>
      <c r="F28" s="174"/>
      <c r="G28" s="174"/>
      <c r="H28" s="174"/>
      <c r="I28" s="175"/>
      <c r="J28" s="175"/>
      <c r="K28" s="175"/>
      <c r="L28" s="174"/>
      <c r="M28" s="174"/>
      <c r="N28" s="174"/>
    </row>
    <row r="29" spans="1:13" ht="12.75">
      <c r="A29" s="174"/>
      <c r="B29" s="174"/>
      <c r="C29" s="174"/>
      <c r="D29" s="174"/>
      <c r="E29" s="174"/>
      <c r="F29" s="174"/>
      <c r="G29" s="174"/>
      <c r="H29" s="174"/>
      <c r="I29" s="175"/>
      <c r="J29" s="175"/>
      <c r="K29" s="175"/>
      <c r="L29" s="174"/>
      <c r="M29" s="174"/>
    </row>
    <row r="30" spans="1:13" ht="12.75">
      <c r="A30" s="174"/>
      <c r="B30" s="174"/>
      <c r="C30" s="174"/>
      <c r="D30" s="174"/>
      <c r="E30" s="174"/>
      <c r="F30" s="174"/>
      <c r="G30" s="174"/>
      <c r="H30" s="174"/>
      <c r="I30" s="175"/>
      <c r="J30" s="175"/>
      <c r="K30" s="175"/>
      <c r="L30" s="174"/>
      <c r="M30" s="174"/>
    </row>
    <row r="31" ht="12.75">
      <c r="A31" s="174"/>
    </row>
    <row r="32" ht="12.75">
      <c r="A32" s="174"/>
    </row>
  </sheetData>
  <sheetProtection password="DFED" sheet="1"/>
  <printOptions/>
  <pageMargins left="0.5511811023622047" right="0.3937007874015748" top="0.76" bottom="0.4724409448818898" header="0.5118110236220472" footer="0.9055118110236221"/>
  <pageSetup fitToHeight="1" fitToWidth="1" horizontalDpi="600" verticalDpi="600" orientation="portrait" paperSize="9" scale="77" r:id="rId3"/>
  <headerFooter alignWithMargins="0">
    <oddFooter>&amp;L&amp;D&amp;R&amp;G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24"/>
  <sheetViews>
    <sheetView showGridLines="0" showRowColHeaders="0" zoomScalePageLayoutView="0" workbookViewId="0" topLeftCell="A1">
      <pane ySplit="1" topLeftCell="A2" activePane="bottomLeft" state="frozen"/>
      <selection pane="topLeft" activeCell="E30" sqref="E30"/>
      <selection pane="bottomLeft" activeCell="A24" sqref="A24"/>
    </sheetView>
  </sheetViews>
  <sheetFormatPr defaultColWidth="10.28125" defaultRowHeight="12.75"/>
  <cols>
    <col min="1" max="1" width="56.57421875" style="157" bestFit="1" customWidth="1"/>
    <col min="2" max="16384" width="10.28125" style="157" customWidth="1"/>
  </cols>
  <sheetData>
    <row r="1" ht="18">
      <c r="A1" s="156" t="str">
        <f>CONCATENATE(Configurator!$B$5,Configurator!$C$5,Configurator!$D$5,Configurator!$E$5,Configurator!$F$5,Configurator!$G$5,Configurator!$H$5,Configurator!$I$5,Configurator!$J$5,Configurator!$K$5,Configurator!$L$5,Configurator!$M$5)</f>
        <v>P220C00Z1*200BC</v>
      </c>
    </row>
    <row r="2" ht="18">
      <c r="A2" s="156"/>
    </row>
    <row r="3" ht="14.25">
      <c r="A3" s="158" t="s">
        <v>102</v>
      </c>
    </row>
    <row r="4" ht="14.25">
      <c r="A4" s="158"/>
    </row>
    <row r="5" ht="14.25">
      <c r="A5" s="155" t="str">
        <f>Configurator!A8</f>
        <v>Токовый вход для ТТНП:</v>
      </c>
    </row>
    <row r="6" ht="14.25">
      <c r="A6" s="155" t="s">
        <v>77</v>
      </c>
    </row>
    <row r="7" ht="14.25">
      <c r="A7" s="157" t="str">
        <f>Configurator!A10</f>
        <v>Входное напряжение:</v>
      </c>
    </row>
    <row r="8" ht="14.25">
      <c r="A8" s="157" t="str">
        <f>CONCATENATE("  ",Configurator!A11)</f>
        <v>  Нет</v>
      </c>
    </row>
    <row r="9" ht="14.25" customHeight="1">
      <c r="A9" s="157" t="str">
        <f>Configurator!A12</f>
        <v>Тип монтажа:</v>
      </c>
    </row>
    <row r="10" ht="14.25" customHeight="1">
      <c r="A10" s="159" t="str">
        <f>CONCATENATE("  ",VLOOKUP(Tendering!$B$9,Database!$A$12:$B$15,2,FALSE))</f>
        <v>  Нет (по умолчанию)</v>
      </c>
    </row>
    <row r="11" ht="14.25" customHeight="1">
      <c r="A11" s="331" t="s">
        <v>111</v>
      </c>
    </row>
    <row r="12" ht="14.25" customHeight="1">
      <c r="A12" s="159" t="str">
        <f>CONCATENATE("  ",VLOOKUP(Tendering!$B$10,Database!$A$18:$B$20,2,FALSE))</f>
        <v>  24 - 250 Vdc / 48 - 240 Vac</v>
      </c>
    </row>
    <row r="13" ht="14.25" customHeight="1">
      <c r="A13" s="331" t="s">
        <v>112</v>
      </c>
    </row>
    <row r="14" ht="14.25">
      <c r="A14" s="159" t="str">
        <f>CONCATENATE("  ",VLOOKUP(Tendering!$B$11,Database!$A$23:$B$25,2,FALSE))</f>
        <v>  24 - 250 Vdc / 24 - 240 Vac</v>
      </c>
    </row>
    <row r="15" ht="14.25">
      <c r="A15" s="157" t="str">
        <f>Configurator!A16</f>
        <v>Протокол связи: </v>
      </c>
    </row>
    <row r="16" ht="14.25">
      <c r="A16" s="159" t="str">
        <f>CONCATENATE("  ",VLOOKUP(Tendering!$B$12,Database!$A$28:$B$31,2,FALSE))</f>
        <v>  Modbus / Modbus (если 2й порт RS485 доступен)</v>
      </c>
    </row>
    <row r="17" ht="14.25">
      <c r="A17" s="157" t="str">
        <f>Configurator!A18</f>
        <v>Язык:</v>
      </c>
    </row>
    <row r="18" ht="14.25">
      <c r="A18" s="159" t="str">
        <f>CONCATENATE("  ",VLOOKUP(Tendering!$B$13,Database!$A$34:$B$48,2,FALSE))</f>
        <v>  Голландский : недоступно для заказа</v>
      </c>
    </row>
    <row r="19" ht="14.25">
      <c r="A19" s="157" t="str">
        <f>Configurator!A22</f>
        <v>Функция: Температура / IRIG-B + Порт безопасности + 5 DI</v>
      </c>
    </row>
    <row r="20" ht="14.25">
      <c r="A20" s="159" t="str">
        <f>CONCATENATE("  ",VLOOKUP(Tendering!$B$15,Database!$A$65:$B$68,2,FALSE))</f>
        <v>  Нет</v>
      </c>
    </row>
    <row r="21" ht="14.25">
      <c r="A21" s="157" t="str">
        <f>Configurator!A24</f>
        <v>Дополнительный вход(-ы):</v>
      </c>
    </row>
    <row r="22" ht="14.25">
      <c r="A22" s="159" t="str">
        <f>CONCATENATE("  ",VLOOKUP(Tendering!$B$16,Database!$A$71:$B$72,2,FALSE))</f>
        <v>  Нет</v>
      </c>
    </row>
    <row r="23" ht="14.25">
      <c r="A23" s="157" t="str">
        <f>Configurator!A26</f>
        <v>Программное обеспечение:</v>
      </c>
    </row>
    <row r="24" ht="14.25">
      <c r="A24" s="159" t="str">
        <f>CONCATENATE("  ",VLOOKUP(Tendering!$B$14,Database!$A$52:$G$62,6,FALSE))</f>
        <v>  V11.C</v>
      </c>
    </row>
  </sheetData>
  <sheetProtection password="DFED" sheet="1" objects="1" scenarios="1"/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&amp;C&amp;A</oddHeader>
    <oddFooter>&amp;LPage &amp;P of &amp;N&amp;C&amp;F&amp;R&amp;D</oddFooter>
  </headerFooter>
  <rowBreaks count="1" manualBreakCount="1">
    <brk id="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AH72"/>
  <sheetViews>
    <sheetView zoomScale="75" zoomScaleNormal="75" zoomScalePageLayoutView="0" workbookViewId="0" topLeftCell="A1">
      <selection activeCell="F54" sqref="F54"/>
    </sheetView>
  </sheetViews>
  <sheetFormatPr defaultColWidth="9.140625" defaultRowHeight="12.75"/>
  <cols>
    <col min="1" max="1" width="3.140625" style="44" bestFit="1" customWidth="1"/>
    <col min="2" max="2" width="50.140625" style="41" bestFit="1" customWidth="1"/>
    <col min="3" max="3" width="6.421875" style="44" bestFit="1" customWidth="1"/>
    <col min="4" max="4" width="26.140625" style="41" bestFit="1" customWidth="1"/>
    <col min="5" max="5" width="6.421875" style="41" bestFit="1" customWidth="1"/>
    <col min="6" max="6" width="56.00390625" style="41" bestFit="1" customWidth="1"/>
    <col min="7" max="8" width="20.140625" style="41" bestFit="1" customWidth="1"/>
    <col min="9" max="9" width="7.7109375" style="41" bestFit="1" customWidth="1"/>
    <col min="10" max="10" width="7.57421875" style="41" bestFit="1" customWidth="1"/>
    <col min="11" max="11" width="18.00390625" style="41" bestFit="1" customWidth="1"/>
    <col min="12" max="12" width="7.7109375" style="41" bestFit="1" customWidth="1"/>
    <col min="13" max="13" width="6.421875" style="41" bestFit="1" customWidth="1"/>
    <col min="14" max="14" width="22.7109375" style="41" bestFit="1" customWidth="1"/>
    <col min="15" max="15" width="6.00390625" style="41" customWidth="1"/>
    <col min="16" max="16" width="21.00390625" style="41" bestFit="1" customWidth="1"/>
    <col min="17" max="17" width="6.28125" style="41" bestFit="1" customWidth="1"/>
    <col min="18" max="18" width="21.57421875" style="41" bestFit="1" customWidth="1"/>
    <col min="19" max="19" width="18.140625" style="41" bestFit="1" customWidth="1"/>
    <col min="20" max="20" width="19.140625" style="41" bestFit="1" customWidth="1"/>
    <col min="21" max="27" width="2.57421875" style="41" bestFit="1" customWidth="1"/>
    <col min="28" max="29" width="2.57421875" style="41" customWidth="1"/>
    <col min="30" max="34" width="2.57421875" style="41" bestFit="1" customWidth="1"/>
    <col min="35" max="35" width="1.7109375" style="41" bestFit="1" customWidth="1"/>
    <col min="36" max="37" width="2.57421875" style="41" bestFit="1" customWidth="1"/>
    <col min="38" max="39" width="1.7109375" style="41" bestFit="1" customWidth="1"/>
    <col min="40" max="41" width="2.57421875" style="41" bestFit="1" customWidth="1"/>
    <col min="42" max="43" width="1.7109375" style="41" bestFit="1" customWidth="1"/>
    <col min="44" max="45" width="2.57421875" style="41" bestFit="1" customWidth="1"/>
    <col min="46" max="47" width="1.7109375" style="41" bestFit="1" customWidth="1"/>
    <col min="48" max="48" width="2.57421875" style="41" customWidth="1"/>
    <col min="49" max="49" width="2.57421875" style="41" bestFit="1" customWidth="1"/>
    <col min="50" max="16384" width="9.140625" style="41" customWidth="1"/>
  </cols>
  <sheetData>
    <row r="2" spans="1:6" ht="12.75">
      <c r="A2" s="49"/>
      <c r="B2" s="76">
        <f ca="1">TODAY()</f>
        <v>43160</v>
      </c>
      <c r="C2" s="48">
        <v>1</v>
      </c>
      <c r="D2" s="25"/>
      <c r="E2" s="26"/>
      <c r="F2" s="26"/>
    </row>
    <row r="3" spans="1:34" ht="12.75">
      <c r="A3" s="57">
        <v>1</v>
      </c>
      <c r="B3" s="58" t="str">
        <f>HLOOKUP($B$2,'Date Drivers'!$B$1:$W$943,2)</f>
        <v>Phase 2, deep depth</v>
      </c>
      <c r="C3" s="37">
        <f>HLOOKUP($B$2,'Date Drivers'!$B$1:$W$943,5)</f>
        <v>2</v>
      </c>
      <c r="D3" s="96" t="s">
        <v>29</v>
      </c>
      <c r="E3" s="81" t="s">
        <v>30</v>
      </c>
      <c r="F3" s="81" t="s">
        <v>37</v>
      </c>
      <c r="G3" s="91" t="str">
        <f>HLOOKUP(Configurator!$B$6,'Date Drivers'!$B$1:$W$75,25)</f>
        <v>French</v>
      </c>
      <c r="H3" s="123" t="str">
        <f>HLOOKUP(Configurator!$B$6,'Date Drivers'!$B$1:$W$75,26)</f>
        <v>English / American</v>
      </c>
      <c r="I3" s="119" t="str">
        <f>HLOOKUP(Configurator!$B$6,'Date Drivers'!$B$1:$W$75,27)</f>
        <v>Spanish</v>
      </c>
      <c r="J3" s="123" t="str">
        <f>HLOOKUP(Configurator!$B$6,'Date Drivers'!$B$1:$W$75,28)</f>
        <v>German</v>
      </c>
      <c r="K3" s="119" t="str">
        <f>HLOOKUP(Configurator!$B$6,'Date Drivers'!$B$1:$W$75,29)</f>
        <v>Italian : недоступно для заказа</v>
      </c>
      <c r="L3" s="123" t="str">
        <f>HLOOKUP(Configurator!$B$6,'Date Drivers'!$B$1:$W$75,30)</f>
        <v>Russian</v>
      </c>
      <c r="M3" s="119" t="str">
        <f>HLOOKUP(Configurator!$B$6,'Date Drivers'!$B$1:$W$75,31)</f>
        <v>Polish</v>
      </c>
      <c r="N3" s="123" t="str">
        <f>HLOOKUP(Configurator!$B$6,'Date Drivers'!$B$1:$W$75,32)</f>
        <v>Portuguese : недоступно для заказа</v>
      </c>
      <c r="O3" s="119" t="str">
        <f>HLOOKUP(Configurator!$B$6,'Date Drivers'!$B$1:$W$75,33)</f>
        <v>Dutch</v>
      </c>
      <c r="P3" s="123" t="str">
        <f>HLOOKUP(Configurator!$B$6,'Date Drivers'!$B$1:$W$75,34)</f>
        <v>American : недоступно для заказа</v>
      </c>
      <c r="Q3" s="119" t="str">
        <f>HLOOKUP(Configurator!$B$6,'Date Drivers'!$B$1:$W$75,35)</f>
        <v>Czech</v>
      </c>
      <c r="R3" s="123" t="str">
        <f>HLOOKUP(Configurator!$B$6,'Date Drivers'!$B$1:$W$75,36)</f>
        <v>Hungarian : недоступно для заказа</v>
      </c>
      <c r="S3" s="123" t="str">
        <f>HLOOKUP(Configurator!$B$6,'Date Drivers'!$B$1:$W$75,37)</f>
        <v>Greek : недоступно для заказа</v>
      </c>
      <c r="T3" s="119" t="str">
        <f>HLOOKUP(Configurator!$B$6,'Date Drivers'!$B$1:$W$75,38)</f>
        <v>Turkish : недоступно для заказа</v>
      </c>
      <c r="U3" s="91">
        <f>HLOOKUP(Configurator!$B$6,'Date Drivers'!$B$1:$W$75,40)</f>
        <v>0</v>
      </c>
      <c r="V3" s="123">
        <f>HLOOKUP(Configurator!$B$6,'Date Drivers'!$B$1:$W$75,41)</f>
        <v>1</v>
      </c>
      <c r="W3" s="119">
        <f>HLOOKUP(Configurator!$B$6,'Date Drivers'!$B$1:$W$75,42)</f>
        <v>2</v>
      </c>
      <c r="X3" s="123">
        <f>HLOOKUP(Configurator!$B$6,'Date Drivers'!$B$1:$W$75,43)</f>
        <v>3</v>
      </c>
      <c r="Y3" s="119" t="str">
        <f>HLOOKUP(Configurator!$B$6,'Date Drivers'!$B$1:$W$75,44)</f>
        <v>*</v>
      </c>
      <c r="Z3" s="123">
        <f>HLOOKUP(Configurator!$B$6,'Date Drivers'!$B$1:$W$75,45)</f>
        <v>5</v>
      </c>
      <c r="AA3" s="119">
        <f>HLOOKUP(Configurator!$B$6,'Date Drivers'!$B$1:$W$75,46)</f>
        <v>6</v>
      </c>
      <c r="AB3" s="123" t="str">
        <f>HLOOKUP(Configurator!$B$6,'Date Drivers'!$B$1:$W$75,47)</f>
        <v>*</v>
      </c>
      <c r="AC3" s="119">
        <f>HLOOKUP(Configurator!$B$6,'Date Drivers'!$B$1:$W$75,48)</f>
        <v>8</v>
      </c>
      <c r="AD3" s="123" t="str">
        <f>HLOOKUP(Configurator!$B$6,'Date Drivers'!$B$1:$W$75,49)</f>
        <v>*</v>
      </c>
      <c r="AE3" s="119" t="str">
        <f>HLOOKUP(Configurator!$B$6,'Date Drivers'!$B$1:$W$75,50)</f>
        <v>A</v>
      </c>
      <c r="AF3" s="123" t="str">
        <f>HLOOKUP(Configurator!$B$6,'Date Drivers'!$B$1:$W$75,51)</f>
        <v>*</v>
      </c>
      <c r="AG3" s="119" t="str">
        <f>HLOOKUP(Configurator!$B$6,'Date Drivers'!$B$1:$W$75,52)</f>
        <v>*</v>
      </c>
      <c r="AH3" s="92" t="str">
        <f>HLOOKUP(Configurator!$B$6,'Date Drivers'!$B$1:$W$75,53)</f>
        <v>*</v>
      </c>
    </row>
    <row r="4" spans="1:34" ht="12.75">
      <c r="A4" s="50">
        <v>2</v>
      </c>
      <c r="B4" s="59" t="str">
        <f>HLOOKUP($B$2,'Date Drivers'!$B$1:$W$943,3)</f>
        <v>Phase 2 with graphical display, deep depth</v>
      </c>
      <c r="C4" s="78">
        <f>HLOOKUP($B$2,'Date Drivers'!$B$1:$W$943,6)</f>
        <v>3</v>
      </c>
      <c r="D4" s="96" t="s">
        <v>29</v>
      </c>
      <c r="E4" s="81" t="s">
        <v>30</v>
      </c>
      <c r="F4" s="81" t="s">
        <v>37</v>
      </c>
      <c r="G4" s="80" t="str">
        <f>HLOOKUP(Configurator!$B$6,'Date Drivers'!$B$1:$W$75,39)</f>
        <v>Chinese</v>
      </c>
      <c r="H4" s="117" t="s">
        <v>0</v>
      </c>
      <c r="I4" s="120" t="s">
        <v>0</v>
      </c>
      <c r="J4" s="120" t="s">
        <v>0</v>
      </c>
      <c r="K4" s="120" t="s">
        <v>0</v>
      </c>
      <c r="L4" s="120" t="s">
        <v>0</v>
      </c>
      <c r="M4" s="120" t="s">
        <v>0</v>
      </c>
      <c r="N4" s="120" t="s">
        <v>0</v>
      </c>
      <c r="O4" s="120" t="s">
        <v>0</v>
      </c>
      <c r="P4" s="120" t="s">
        <v>0</v>
      </c>
      <c r="Q4" s="120" t="s">
        <v>0</v>
      </c>
      <c r="R4" s="120" t="s">
        <v>0</v>
      </c>
      <c r="S4" s="120" t="s">
        <v>0</v>
      </c>
      <c r="T4" s="120" t="s">
        <v>0</v>
      </c>
      <c r="U4" s="80" t="str">
        <f>HLOOKUP(Configurator!$B$6,'Date Drivers'!$B$1:$W$75,54)</f>
        <v>D</v>
      </c>
      <c r="V4" s="122" t="str">
        <f>HLOOKUP(Configurator!$B$6,'Date Drivers'!$B$1:$W$75,54)</f>
        <v>D</v>
      </c>
      <c r="W4" s="122" t="str">
        <f>HLOOKUP(Configurator!$B$6,'Date Drivers'!$B$1:$W$75,54)</f>
        <v>D</v>
      </c>
      <c r="X4" s="122" t="str">
        <f>HLOOKUP(Configurator!$B$6,'Date Drivers'!$B$1:$W$75,54)</f>
        <v>D</v>
      </c>
      <c r="Y4" s="122" t="str">
        <f>HLOOKUP(Configurator!$B$6,'Date Drivers'!$B$1:$W$75,54)</f>
        <v>D</v>
      </c>
      <c r="Z4" s="122" t="str">
        <f>HLOOKUP(Configurator!$B$6,'Date Drivers'!$B$1:$W$75,54)</f>
        <v>D</v>
      </c>
      <c r="AA4" s="122" t="str">
        <f>HLOOKUP(Configurator!$B$6,'Date Drivers'!$B$1:$W$75,54)</f>
        <v>D</v>
      </c>
      <c r="AB4" s="122" t="str">
        <f>HLOOKUP(Configurator!$B$6,'Date Drivers'!$B$1:$W$75,54)</f>
        <v>D</v>
      </c>
      <c r="AC4" s="122" t="str">
        <f>HLOOKUP(Configurator!$B$6,'Date Drivers'!$B$1:$W$75,54)</f>
        <v>D</v>
      </c>
      <c r="AD4" s="122" t="str">
        <f>HLOOKUP(Configurator!$B$6,'Date Drivers'!$B$1:$W$75,54)</f>
        <v>D</v>
      </c>
      <c r="AE4" s="122" t="str">
        <f>HLOOKUP(Configurator!$B$6,'Date Drivers'!$B$1:$W$75,54)</f>
        <v>D</v>
      </c>
      <c r="AF4" s="122" t="str">
        <f>HLOOKUP(Configurator!$B$6,'Date Drivers'!$B$1:$W$75,54)</f>
        <v>D</v>
      </c>
      <c r="AG4" s="122" t="str">
        <f>HLOOKUP(Configurator!$B$6,'Date Drivers'!$B$1:$W$75,54)</f>
        <v>D</v>
      </c>
      <c r="AH4" s="93" t="str">
        <f>HLOOKUP(Configurator!$B$6,'Date Drivers'!$B$1:$W$75,54)</f>
        <v>D</v>
      </c>
    </row>
    <row r="5" spans="1:34" ht="12.75">
      <c r="A5" s="51">
        <v>3</v>
      </c>
      <c r="B5" s="60" t="str">
        <f>HLOOKUP($B$2,'Date Drivers'!$B$1:$W$943,4)</f>
        <v>Phase 1, shallow depth</v>
      </c>
      <c r="C5" s="79">
        <f>HLOOKUP($B$2,'Date Drivers'!$B$1:$W$943,7)</f>
        <v>1</v>
      </c>
      <c r="D5" s="43" t="s">
        <v>0</v>
      </c>
      <c r="E5" s="77" t="s">
        <v>0</v>
      </c>
      <c r="F5" s="77" t="s">
        <v>0</v>
      </c>
      <c r="G5" s="94" t="str">
        <f>HLOOKUP(Configurator!$B$6,'Date Drivers'!$B$1:$W$75,25)</f>
        <v>French</v>
      </c>
      <c r="H5" s="124" t="str">
        <f>HLOOKUP(Configurator!$B$6,'Date Drivers'!$B$1:$W$75,26)</f>
        <v>English / American</v>
      </c>
      <c r="I5" s="121" t="str">
        <f>HLOOKUP(Configurator!$B$6,'Date Drivers'!$B$1:$W$75,27)</f>
        <v>Spanish</v>
      </c>
      <c r="J5" s="124" t="str">
        <f>HLOOKUP(Configurator!$B$6,'Date Drivers'!$B$1:$W$75,28)</f>
        <v>German</v>
      </c>
      <c r="K5" s="121" t="str">
        <f>HLOOKUP(Configurator!$B$6,'Date Drivers'!$B$1:$W$75,29)</f>
        <v>Italian : недоступно для заказа</v>
      </c>
      <c r="L5" s="124" t="str">
        <f>HLOOKUP(Configurator!$B$6,'Date Drivers'!$B$1:$W$75,30)</f>
        <v>Russian</v>
      </c>
      <c r="M5" s="121" t="str">
        <f>HLOOKUP(Configurator!$B$6,'Date Drivers'!$B$1:$W$75,31)</f>
        <v>Polish</v>
      </c>
      <c r="N5" s="124" t="str">
        <f>HLOOKUP(Configurator!$B$6,'Date Drivers'!$B$1:$W$75,32)</f>
        <v>Portuguese : недоступно для заказа</v>
      </c>
      <c r="O5" s="121" t="str">
        <f>HLOOKUP(Configurator!$B$6,'Date Drivers'!$B$1:$W$75,33)</f>
        <v>Dutch</v>
      </c>
      <c r="P5" s="124" t="str">
        <f>HLOOKUP(Configurator!$B$6,'Date Drivers'!$B$1:$W$75,34)</f>
        <v>American : недоступно для заказа</v>
      </c>
      <c r="Q5" s="121" t="str">
        <f>HLOOKUP(Configurator!$B$6,'Date Drivers'!$B$1:$W$75,35)</f>
        <v>Czech</v>
      </c>
      <c r="R5" s="124" t="str">
        <f>HLOOKUP(Configurator!$B$6,'Date Drivers'!$B$1:$W$75,36)</f>
        <v>Hungarian : недоступно для заказа</v>
      </c>
      <c r="S5" s="124" t="str">
        <f>HLOOKUP(Configurator!$B$6,'Date Drivers'!$B$1:$W$75,37)</f>
        <v>Greek : недоступно для заказа</v>
      </c>
      <c r="T5" s="121" t="str">
        <f>HLOOKUP(Configurator!$B$6,'Date Drivers'!$B$1:$W$75,38)</f>
        <v>Turkish : недоступно для заказа</v>
      </c>
      <c r="U5" s="94">
        <f>HLOOKUP(Configurator!$B$6,'Date Drivers'!$B$1:$W$75,40)</f>
        <v>0</v>
      </c>
      <c r="V5" s="124">
        <f>HLOOKUP(Configurator!$B$6,'Date Drivers'!$B$1:$W$75,41)</f>
        <v>1</v>
      </c>
      <c r="W5" s="121">
        <f>HLOOKUP(Configurator!$B$6,'Date Drivers'!$B$1:$W$75,42)</f>
        <v>2</v>
      </c>
      <c r="X5" s="124">
        <f>HLOOKUP(Configurator!$B$6,'Date Drivers'!$B$1:$W$75,43)</f>
        <v>3</v>
      </c>
      <c r="Y5" s="121" t="str">
        <f>HLOOKUP(Configurator!$B$6,'Date Drivers'!$B$1:$W$75,44)</f>
        <v>*</v>
      </c>
      <c r="Z5" s="124">
        <f>HLOOKUP(Configurator!$B$6,'Date Drivers'!$B$1:$W$75,45)</f>
        <v>5</v>
      </c>
      <c r="AA5" s="121">
        <f>HLOOKUP(Configurator!$B$6,'Date Drivers'!$B$1:$W$75,46)</f>
        <v>6</v>
      </c>
      <c r="AB5" s="124" t="str">
        <f>HLOOKUP(Configurator!$B$6,'Date Drivers'!$B$1:$W$75,47)</f>
        <v>*</v>
      </c>
      <c r="AC5" s="121">
        <f>HLOOKUP(Configurator!$B$6,'Date Drivers'!$B$1:$W$75,48)</f>
        <v>8</v>
      </c>
      <c r="AD5" s="124" t="str">
        <f>HLOOKUP(Configurator!$B$6,'Date Drivers'!$B$1:$W$75,49)</f>
        <v>*</v>
      </c>
      <c r="AE5" s="121" t="str">
        <f>HLOOKUP(Configurator!$B$6,'Date Drivers'!$B$1:$W$75,50)</f>
        <v>A</v>
      </c>
      <c r="AF5" s="124" t="str">
        <f>HLOOKUP(Configurator!$B$6,'Date Drivers'!$B$1:$W$75,51)</f>
        <v>*</v>
      </c>
      <c r="AG5" s="121" t="str">
        <f>HLOOKUP(Configurator!$B$6,'Date Drivers'!$B$1:$W$75,52)</f>
        <v>*</v>
      </c>
      <c r="AH5" s="95" t="str">
        <f>HLOOKUP(Configurator!$B$6,'Date Drivers'!$B$1:$W$75,53)</f>
        <v>*</v>
      </c>
    </row>
    <row r="7" spans="1:2" ht="12.75">
      <c r="A7" s="81">
        <v>1</v>
      </c>
      <c r="B7" s="61">
        <v>40179</v>
      </c>
    </row>
    <row r="8" spans="1:2" ht="12.75">
      <c r="A8" s="82">
        <v>2</v>
      </c>
      <c r="B8" s="85">
        <f ca="1">HLOOKUP(TODAY(),'Date Drivers'!$B$1:$W$70,1)</f>
        <v>40275</v>
      </c>
    </row>
    <row r="9" spans="1:2" ht="12.75">
      <c r="A9" s="83">
        <v>3</v>
      </c>
      <c r="B9" s="84">
        <f ca="1">HLOOKUP(TODAY(),'Date Drivers'!$B$1:$W$70,1)</f>
        <v>40275</v>
      </c>
    </row>
    <row r="11" spans="1:12" ht="12.75">
      <c r="A11" s="49"/>
      <c r="C11" s="46"/>
      <c r="E11" s="48">
        <f>$C$2*10+Tendering!$B$10</f>
        <v>12</v>
      </c>
      <c r="F11" s="72" t="s">
        <v>25</v>
      </c>
      <c r="G11" s="73"/>
      <c r="H11" s="73"/>
      <c r="I11" s="73"/>
      <c r="J11" s="73"/>
      <c r="K11" s="73"/>
      <c r="L11" s="140"/>
    </row>
    <row r="12" spans="1:12" ht="12.75">
      <c r="A12" s="22">
        <v>1</v>
      </c>
      <c r="B12" s="284" t="s">
        <v>107</v>
      </c>
      <c r="C12" s="276">
        <v>0</v>
      </c>
      <c r="E12" s="65">
        <v>11</v>
      </c>
      <c r="F12" s="31" t="str">
        <f>HLOOKUP(Configurator!$B$6,'Date Drivers'!$B$1:$W$70,63)</f>
        <v>105 - 145 Vdc</v>
      </c>
      <c r="G12" s="31" t="str">
        <f>HLOOKUP(Configurator!$B$6,'Date Drivers'!$B$1:$W$70,64)</f>
        <v>110 Vdc - 30% / +20%</v>
      </c>
      <c r="H12" s="31" t="str">
        <f>HLOOKUP(Configurator!$B$6,'Date Drivers'!$B$1:$W$70,65)</f>
        <v>220 Vdc - 30% / +20%</v>
      </c>
      <c r="I12" s="67" t="str">
        <f>HLOOKUP(Configurator!$B$6,'Date Drivers'!$B$1:$W$70,67)</f>
        <v>H</v>
      </c>
      <c r="J12" s="70" t="str">
        <f>HLOOKUP(Configurator!$B$6,'Date Drivers'!$B$1:$W$70,68)</f>
        <v>V</v>
      </c>
      <c r="K12" s="74" t="str">
        <f>HLOOKUP(Configurator!$B$6,'Date Drivers'!$B$1:$W$70,69)</f>
        <v>W</v>
      </c>
      <c r="L12" s="140"/>
    </row>
    <row r="13" spans="1:12" ht="12.75">
      <c r="A13" s="23">
        <v>2</v>
      </c>
      <c r="B13" s="284" t="s">
        <v>108</v>
      </c>
      <c r="C13" s="285">
        <v>1</v>
      </c>
      <c r="E13" s="66">
        <v>12</v>
      </c>
      <c r="F13" s="31" t="str">
        <f>HLOOKUP(Configurator!$B$6,'Date Drivers'!$B$1:$W$70,66)</f>
        <v>24 - 250 Vdc / 24 - 240 Vac</v>
      </c>
      <c r="G13" s="64" t="s">
        <v>0</v>
      </c>
      <c r="H13" s="64" t="s">
        <v>0</v>
      </c>
      <c r="I13" s="67" t="str">
        <f>HLOOKUP(Configurator!$B$6,'Date Drivers'!$B$1:$W$70,70)</f>
        <v>Z</v>
      </c>
      <c r="J13" s="138" t="str">
        <f>HLOOKUP(Configurator!$B$6,'Date Drivers'!$B$1:$W$70,70)</f>
        <v>Z</v>
      </c>
      <c r="K13" s="139" t="str">
        <f>HLOOKUP(Configurator!$B$6,'Date Drivers'!$B$1:$W$70,70)</f>
        <v>Z</v>
      </c>
      <c r="L13" s="140"/>
    </row>
    <row r="14" spans="1:12" ht="12.75">
      <c r="A14" s="23">
        <v>3</v>
      </c>
      <c r="B14" s="284" t="s">
        <v>109</v>
      </c>
      <c r="C14" s="285">
        <v>2</v>
      </c>
      <c r="E14" s="65">
        <v>13</v>
      </c>
      <c r="F14" s="33" t="s">
        <v>0</v>
      </c>
      <c r="G14" s="64" t="s">
        <v>0</v>
      </c>
      <c r="H14" s="64" t="s">
        <v>0</v>
      </c>
      <c r="I14" s="71" t="s">
        <v>4</v>
      </c>
      <c r="J14" s="68" t="s">
        <v>4</v>
      </c>
      <c r="K14" s="69" t="s">
        <v>4</v>
      </c>
      <c r="L14" s="140"/>
    </row>
    <row r="15" spans="1:12" ht="12.75">
      <c r="A15" s="56">
        <v>4</v>
      </c>
      <c r="B15" s="286" t="s">
        <v>110</v>
      </c>
      <c r="C15" s="287">
        <v>3</v>
      </c>
      <c r="E15" s="65">
        <v>21</v>
      </c>
      <c r="F15" s="31" t="str">
        <f>HLOOKUP(Configurator!$B$6,'Date Drivers'!$B$1:$W$70,63)</f>
        <v>105 - 145 Vdc</v>
      </c>
      <c r="G15" s="31" t="str">
        <f>HLOOKUP(Configurator!$B$6,'Date Drivers'!$B$1:$W$70,64)</f>
        <v>110 Vdc - 30% / +20%</v>
      </c>
      <c r="H15" s="31" t="str">
        <f>HLOOKUP(Configurator!$B$6,'Date Drivers'!$B$1:$W$70,65)</f>
        <v>220 Vdc - 30% / +20%</v>
      </c>
      <c r="I15" s="67" t="str">
        <f>HLOOKUP(Configurator!$B$6,'Date Drivers'!$B$1:$W$70,67)</f>
        <v>H</v>
      </c>
      <c r="J15" s="70" t="str">
        <f>HLOOKUP(Configurator!$B$6,'Date Drivers'!$B$1:$W$70,68)</f>
        <v>V</v>
      </c>
      <c r="K15" s="74" t="str">
        <f>HLOOKUP(Configurator!$B$6,'Date Drivers'!$B$1:$W$70,69)</f>
        <v>W</v>
      </c>
      <c r="L15" s="140"/>
    </row>
    <row r="16" spans="5:12" ht="12.75">
      <c r="E16" s="65">
        <v>22</v>
      </c>
      <c r="F16" s="31" t="str">
        <f>HLOOKUP(Configurator!$B$6,'Date Drivers'!$B$1:$W$70,66)</f>
        <v>24 - 250 Vdc / 24 - 240 Vac</v>
      </c>
      <c r="G16" s="64" t="s">
        <v>0</v>
      </c>
      <c r="H16" s="64" t="s">
        <v>0</v>
      </c>
      <c r="I16" s="67" t="str">
        <f>HLOOKUP(Configurator!$B$6,'Date Drivers'!$B$1:$W$70,70)</f>
        <v>Z</v>
      </c>
      <c r="J16" s="138" t="str">
        <f>HLOOKUP(Configurator!$B$6,'Date Drivers'!$B$1:$W$70,70)</f>
        <v>Z</v>
      </c>
      <c r="K16" s="139" t="str">
        <f>HLOOKUP(Configurator!$B$6,'Date Drivers'!$B$1:$W$70,70)</f>
        <v>Z</v>
      </c>
      <c r="L16" s="140"/>
    </row>
    <row r="17" spans="1:12" ht="12.75">
      <c r="A17" s="49"/>
      <c r="C17" s="41"/>
      <c r="E17" s="65">
        <v>23</v>
      </c>
      <c r="F17" s="33" t="s">
        <v>0</v>
      </c>
      <c r="G17" s="64" t="s">
        <v>0</v>
      </c>
      <c r="H17" s="64" t="s">
        <v>0</v>
      </c>
      <c r="I17" s="71" t="s">
        <v>4</v>
      </c>
      <c r="J17" s="68" t="s">
        <v>4</v>
      </c>
      <c r="K17" s="69" t="s">
        <v>4</v>
      </c>
      <c r="L17" s="140"/>
    </row>
    <row r="18" spans="1:12" ht="12.75">
      <c r="A18" s="22">
        <v>1</v>
      </c>
      <c r="B18" s="53" t="str">
        <f>HLOOKUP('Date Drivers'!$A$1,'Date Drivers'!$B$1:$W$70,16)</f>
        <v>48 - 250 Vdc / 48 - 240 Vac</v>
      </c>
      <c r="C18" s="41"/>
      <c r="E18" s="65">
        <v>31</v>
      </c>
      <c r="F18" s="33" t="s">
        <v>0</v>
      </c>
      <c r="G18" s="33" t="s">
        <v>0</v>
      </c>
      <c r="H18" s="33" t="s">
        <v>0</v>
      </c>
      <c r="I18" s="67" t="str">
        <f>HLOOKUP(Configurator!$B$6,'Date Drivers'!$B$1:$W$70,67)</f>
        <v>H</v>
      </c>
      <c r="J18" s="138" t="str">
        <f>HLOOKUP(Configurator!$B$6,'Date Drivers'!$B$1:$W$70,67)</f>
        <v>H</v>
      </c>
      <c r="K18" s="139" t="str">
        <f>HLOOKUP(Configurator!$B$6,'Date Drivers'!$B$1:$W$70,67)</f>
        <v>H</v>
      </c>
      <c r="L18" s="140"/>
    </row>
    <row r="19" spans="1:12" ht="12.75">
      <c r="A19" s="23">
        <v>2</v>
      </c>
      <c r="B19" s="54" t="str">
        <f>HLOOKUP('Date Drivers'!$A$1,'Date Drivers'!$B$1:$W$70,17)</f>
        <v>24 - 250 Vdc / 48 - 240 Vac</v>
      </c>
      <c r="C19" s="41"/>
      <c r="E19" s="66">
        <v>32</v>
      </c>
      <c r="F19" s="33" t="s">
        <v>0</v>
      </c>
      <c r="G19" s="33" t="s">
        <v>0</v>
      </c>
      <c r="H19" s="33" t="s">
        <v>0</v>
      </c>
      <c r="I19" s="67" t="str">
        <f>HLOOKUP(Configurator!$B$6,'Date Drivers'!$B$1:$W$70,68)</f>
        <v>V</v>
      </c>
      <c r="J19" s="138" t="str">
        <f>HLOOKUP(Configurator!$B$6,'Date Drivers'!$B$1:$W$70,68)</f>
        <v>V</v>
      </c>
      <c r="K19" s="139" t="str">
        <f>HLOOKUP(Configurator!$B$6,'Date Drivers'!$B$1:$W$70,68)</f>
        <v>V</v>
      </c>
      <c r="L19" s="140"/>
    </row>
    <row r="20" spans="1:12" ht="12.75">
      <c r="A20" s="56">
        <v>3</v>
      </c>
      <c r="B20" s="55" t="str">
        <f>HLOOKUP('Date Drivers'!$A$1,'Date Drivers'!$B$1:$W$70,18)</f>
        <v> </v>
      </c>
      <c r="C20" s="41"/>
      <c r="E20" s="65">
        <v>33</v>
      </c>
      <c r="F20" s="33" t="s">
        <v>0</v>
      </c>
      <c r="G20" s="33" t="s">
        <v>0</v>
      </c>
      <c r="H20" s="33" t="s">
        <v>0</v>
      </c>
      <c r="I20" s="67" t="str">
        <f>HLOOKUP(Configurator!$B$6,'Date Drivers'!$B$1:$W$70,69)</f>
        <v>W</v>
      </c>
      <c r="J20" s="138" t="str">
        <f>HLOOKUP(Configurator!$B$6,'Date Drivers'!$B$1:$W$70,69)</f>
        <v>W</v>
      </c>
      <c r="K20" s="139" t="str">
        <f>HLOOKUP(Configurator!$B$6,'Date Drivers'!$B$1:$W$70,69)</f>
        <v>W</v>
      </c>
      <c r="L20" s="140"/>
    </row>
    <row r="21" spans="2:13" ht="12.75">
      <c r="B21" s="42"/>
      <c r="C21" s="41"/>
      <c r="E21" s="137"/>
      <c r="F21" s="42"/>
      <c r="G21" s="42"/>
      <c r="H21" s="130"/>
      <c r="I21" s="130"/>
      <c r="J21" s="47"/>
      <c r="K21" s="117"/>
      <c r="L21" s="125"/>
      <c r="M21" s="125"/>
    </row>
    <row r="22" spans="1:13" ht="12.75">
      <c r="A22" s="49"/>
      <c r="E22" s="137"/>
      <c r="F22" s="42"/>
      <c r="G22" s="42"/>
      <c r="H22" s="130"/>
      <c r="I22" s="130"/>
      <c r="J22" s="47"/>
      <c r="K22" s="117"/>
      <c r="L22" s="125"/>
      <c r="M22" s="125"/>
    </row>
    <row r="23" spans="1:13" ht="12.75">
      <c r="A23" s="22">
        <v>1</v>
      </c>
      <c r="B23" s="53" t="str">
        <f>VLOOKUP($E$11,$E$12:$K$20,2)</f>
        <v>24 - 250 Vdc / 24 - 240 Vac</v>
      </c>
      <c r="C23" s="37" t="str">
        <f>VLOOKUP($E$11,$E$12:$K$20,5)</f>
        <v>Z</v>
      </c>
      <c r="E23" s="137"/>
      <c r="F23" s="42"/>
      <c r="G23" s="42"/>
      <c r="H23" s="130"/>
      <c r="I23" s="130"/>
      <c r="J23" s="47"/>
      <c r="K23" s="117"/>
      <c r="L23" s="125"/>
      <c r="M23" s="125"/>
    </row>
    <row r="24" spans="1:13" ht="12.75">
      <c r="A24" s="23">
        <v>2</v>
      </c>
      <c r="B24" s="54" t="str">
        <f>VLOOKUP($E$11,$E$12:$K$20,3)</f>
        <v> </v>
      </c>
      <c r="C24" s="38" t="str">
        <f>VLOOKUP($E$11,$E$12:$K$20,6)</f>
        <v>Z</v>
      </c>
      <c r="E24" s="137"/>
      <c r="F24" s="42"/>
      <c r="G24" s="42"/>
      <c r="H24" s="130"/>
      <c r="I24" s="130"/>
      <c r="J24" s="47"/>
      <c r="K24" s="117"/>
      <c r="L24" s="125"/>
      <c r="M24" s="125"/>
    </row>
    <row r="25" spans="1:13" ht="12.75">
      <c r="A25" s="56">
        <v>3</v>
      </c>
      <c r="B25" s="55" t="str">
        <f>VLOOKUP($E$11,$E$12:$K$20,4)</f>
        <v> </v>
      </c>
      <c r="C25" s="39" t="str">
        <f>VLOOKUP($E$11,$E$12:$K$20,7)</f>
        <v>Z</v>
      </c>
      <c r="E25" s="137"/>
      <c r="F25" s="42"/>
      <c r="G25" s="42"/>
      <c r="H25" s="130"/>
      <c r="I25" s="130"/>
      <c r="J25" s="47"/>
      <c r="K25" s="117"/>
      <c r="L25" s="125"/>
      <c r="M25" s="125"/>
    </row>
    <row r="26" spans="5:6" ht="12.75">
      <c r="E26" s="46"/>
      <c r="F26" s="45"/>
    </row>
    <row r="27" spans="1:3" ht="12.75">
      <c r="A27" s="49"/>
      <c r="C27" s="40"/>
    </row>
    <row r="28" spans="1:3" ht="12.75">
      <c r="A28" s="22">
        <v>1</v>
      </c>
      <c r="B28" s="275" t="s">
        <v>150</v>
      </c>
      <c r="C28" s="276">
        <v>1</v>
      </c>
    </row>
    <row r="29" spans="1:3" ht="12.75">
      <c r="A29" s="23">
        <v>2</v>
      </c>
      <c r="B29" s="277" t="s">
        <v>115</v>
      </c>
      <c r="C29" s="278">
        <v>2</v>
      </c>
    </row>
    <row r="30" spans="1:3" ht="12.75">
      <c r="A30" s="56">
        <v>3</v>
      </c>
      <c r="B30" s="279" t="s">
        <v>116</v>
      </c>
      <c r="C30" s="280">
        <v>3</v>
      </c>
    </row>
    <row r="31" spans="1:3" ht="12.75">
      <c r="A31" s="56">
        <v>4</v>
      </c>
      <c r="B31" s="60" t="str">
        <f>IF(Tendering!$B$14=1,"IEC60870-5-103 / IEC60870-5-103 (если 2й порт RS485 доступен)","IEC60870-5-103 / IEC60870-5-103 (недоступно для заказа)")</f>
        <v>IEC60870-5-103 / IEC60870-5-103 (если 2й порт RS485 доступен)</v>
      </c>
      <c r="C31" s="79" t="str">
        <f>IF(Tendering!$B$14=1,"5","*")</f>
        <v>5</v>
      </c>
    </row>
    <row r="33" spans="1:3" ht="12.75">
      <c r="A33" s="49"/>
      <c r="C33" s="40"/>
    </row>
    <row r="34" spans="1:3" ht="12.75">
      <c r="A34" s="22">
        <v>1</v>
      </c>
      <c r="B34" s="281" t="s">
        <v>120</v>
      </c>
      <c r="C34" s="276">
        <v>0</v>
      </c>
    </row>
    <row r="35" spans="1:3" ht="12.75">
      <c r="A35" s="23">
        <v>2</v>
      </c>
      <c r="B35" s="282" t="s">
        <v>121</v>
      </c>
      <c r="C35" s="278">
        <v>1</v>
      </c>
    </row>
    <row r="36" spans="1:3" ht="12.75">
      <c r="A36" s="23">
        <v>3</v>
      </c>
      <c r="B36" s="282" t="s">
        <v>122</v>
      </c>
      <c r="C36" s="278">
        <v>2</v>
      </c>
    </row>
    <row r="37" spans="1:3" ht="12.75">
      <c r="A37" s="23">
        <v>4</v>
      </c>
      <c r="B37" s="282" t="s">
        <v>123</v>
      </c>
      <c r="C37" s="278">
        <v>3</v>
      </c>
    </row>
    <row r="38" spans="1:3" ht="12.75">
      <c r="A38" s="23">
        <v>5</v>
      </c>
      <c r="B38" s="329" t="s">
        <v>158</v>
      </c>
      <c r="C38" s="278" t="s">
        <v>4</v>
      </c>
    </row>
    <row r="39" spans="1:3" ht="12.75">
      <c r="A39" s="23">
        <v>6</v>
      </c>
      <c r="B39" s="282" t="s">
        <v>125</v>
      </c>
      <c r="C39" s="278">
        <v>5</v>
      </c>
    </row>
    <row r="40" spans="1:3" ht="12.75">
      <c r="A40" s="23">
        <v>7</v>
      </c>
      <c r="B40" s="282" t="s">
        <v>126</v>
      </c>
      <c r="C40" s="278">
        <v>6</v>
      </c>
    </row>
    <row r="41" spans="1:3" ht="12.75">
      <c r="A41" s="23">
        <v>8</v>
      </c>
      <c r="B41" s="54" t="str">
        <f>IF(Tendering!$B$14=1,"Португальский","Португальский : недоступно для заказа")</f>
        <v>Португальский</v>
      </c>
      <c r="C41" s="38" t="str">
        <f>IF(Tendering!$B$14=1,"7","*")</f>
        <v>7</v>
      </c>
    </row>
    <row r="42" spans="1:3" ht="12.75">
      <c r="A42" s="23">
        <v>9</v>
      </c>
      <c r="B42" s="329" t="s">
        <v>167</v>
      </c>
      <c r="C42" s="333" t="s">
        <v>4</v>
      </c>
    </row>
    <row r="43" spans="1:3" ht="12.75">
      <c r="A43" s="23">
        <v>10</v>
      </c>
      <c r="B43" s="329" t="s">
        <v>159</v>
      </c>
      <c r="C43" s="278" t="s">
        <v>4</v>
      </c>
    </row>
    <row r="44" spans="1:3" ht="12.75">
      <c r="A44" s="23">
        <v>11</v>
      </c>
      <c r="B44" s="329" t="s">
        <v>129</v>
      </c>
      <c r="C44" s="278" t="s">
        <v>1</v>
      </c>
    </row>
    <row r="45" spans="1:3" ht="12.75">
      <c r="A45" s="23">
        <v>12</v>
      </c>
      <c r="B45" s="329" t="s">
        <v>160</v>
      </c>
      <c r="C45" s="278" t="s">
        <v>4</v>
      </c>
    </row>
    <row r="46" spans="1:3" ht="12.75">
      <c r="A46" s="23">
        <v>13</v>
      </c>
      <c r="B46" s="329" t="s">
        <v>161</v>
      </c>
      <c r="C46" s="278" t="s">
        <v>4</v>
      </c>
    </row>
    <row r="47" spans="1:3" ht="12.75">
      <c r="A47" s="56">
        <v>14</v>
      </c>
      <c r="B47" s="54" t="str">
        <f>IF(Tendering!$B$14=1,"Китайский","Китайский : недоступно для заказа")</f>
        <v>Китайский</v>
      </c>
      <c r="C47" s="38" t="str">
        <f>IF(Tendering!$B$14=1,"D","*")</f>
        <v>D</v>
      </c>
    </row>
    <row r="48" spans="1:3" ht="12.75">
      <c r="A48" s="56">
        <v>15</v>
      </c>
      <c r="B48" s="330" t="s">
        <v>162</v>
      </c>
      <c r="C48" s="280" t="s">
        <v>4</v>
      </c>
    </row>
    <row r="49" spans="1:3" ht="12.75">
      <c r="A49" s="41"/>
      <c r="C49" s="41"/>
    </row>
    <row r="50" spans="1:13" ht="12.75">
      <c r="A50" s="52"/>
      <c r="B50" s="4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3" ht="12.75">
      <c r="A51" s="49"/>
      <c r="C51" s="126"/>
    </row>
    <row r="52" spans="1:6" ht="12.75">
      <c r="A52" s="22">
        <v>1</v>
      </c>
      <c r="B52" s="332" t="s">
        <v>165</v>
      </c>
      <c r="C52" s="276" t="s">
        <v>82</v>
      </c>
      <c r="D52" s="281" t="s">
        <v>2</v>
      </c>
      <c r="E52" s="332" t="s">
        <v>3</v>
      </c>
      <c r="F52" s="274" t="s">
        <v>166</v>
      </c>
    </row>
    <row r="53" spans="1:6" ht="12.75">
      <c r="A53" s="23">
        <v>2</v>
      </c>
      <c r="B53" s="281" t="s">
        <v>163</v>
      </c>
      <c r="C53" s="276" t="s">
        <v>82</v>
      </c>
      <c r="D53" s="281" t="s">
        <v>2</v>
      </c>
      <c r="E53" s="281" t="s">
        <v>1</v>
      </c>
      <c r="F53" s="274" t="s">
        <v>83</v>
      </c>
    </row>
    <row r="54" spans="1:6" ht="12.75">
      <c r="A54" s="23">
        <v>3</v>
      </c>
      <c r="B54" s="281" t="s">
        <v>164</v>
      </c>
      <c r="C54" s="276" t="s">
        <v>51</v>
      </c>
      <c r="D54" s="281" t="s">
        <v>1</v>
      </c>
      <c r="E54" s="281" t="s">
        <v>3</v>
      </c>
      <c r="F54" s="41" t="s">
        <v>78</v>
      </c>
    </row>
    <row r="55" spans="1:6" ht="12.75">
      <c r="A55" s="23">
        <v>4</v>
      </c>
      <c r="B55" s="283" t="s">
        <v>0</v>
      </c>
      <c r="C55" s="276" t="s">
        <v>51</v>
      </c>
      <c r="D55" s="281" t="s">
        <v>1</v>
      </c>
      <c r="E55" s="281" t="s">
        <v>3</v>
      </c>
      <c r="F55" s="41" t="s">
        <v>78</v>
      </c>
    </row>
    <row r="56" spans="1:6" ht="12.75">
      <c r="A56" s="23">
        <v>5</v>
      </c>
      <c r="B56" s="283" t="s">
        <v>0</v>
      </c>
      <c r="C56" s="276" t="s">
        <v>51</v>
      </c>
      <c r="D56" s="281" t="s">
        <v>1</v>
      </c>
      <c r="E56" s="281" t="s">
        <v>3</v>
      </c>
      <c r="F56" s="41" t="s">
        <v>78</v>
      </c>
    </row>
    <row r="57" spans="1:6" ht="12.75">
      <c r="A57" s="23">
        <v>6</v>
      </c>
      <c r="B57" s="283" t="s">
        <v>0</v>
      </c>
      <c r="C57" s="276" t="s">
        <v>51</v>
      </c>
      <c r="D57" s="281" t="s">
        <v>1</v>
      </c>
      <c r="E57" s="281" t="s">
        <v>3</v>
      </c>
      <c r="F57" s="41" t="s">
        <v>78</v>
      </c>
    </row>
    <row r="58" spans="1:6" ht="12.75">
      <c r="A58" s="23">
        <v>7</v>
      </c>
      <c r="B58" s="283" t="s">
        <v>0</v>
      </c>
      <c r="C58" s="276" t="s">
        <v>51</v>
      </c>
      <c r="D58" s="281" t="s">
        <v>1</v>
      </c>
      <c r="E58" s="281" t="s">
        <v>3</v>
      </c>
      <c r="F58" s="41" t="s">
        <v>78</v>
      </c>
    </row>
    <row r="59" spans="1:6" ht="12.75">
      <c r="A59" s="23">
        <v>8</v>
      </c>
      <c r="B59" s="283" t="s">
        <v>0</v>
      </c>
      <c r="C59" s="276" t="s">
        <v>51</v>
      </c>
      <c r="D59" s="281" t="s">
        <v>1</v>
      </c>
      <c r="E59" s="281" t="s">
        <v>3</v>
      </c>
      <c r="F59" s="41" t="s">
        <v>78</v>
      </c>
    </row>
    <row r="60" spans="1:6" ht="12.75">
      <c r="A60" s="23">
        <v>9</v>
      </c>
      <c r="B60" s="283" t="s">
        <v>0</v>
      </c>
      <c r="C60" s="276" t="s">
        <v>51</v>
      </c>
      <c r="D60" s="281" t="s">
        <v>1</v>
      </c>
      <c r="E60" s="281" t="s">
        <v>3</v>
      </c>
      <c r="F60" s="41" t="s">
        <v>78</v>
      </c>
    </row>
    <row r="61" spans="1:6" ht="12.75">
      <c r="A61" s="23">
        <v>10</v>
      </c>
      <c r="B61" s="283" t="s">
        <v>0</v>
      </c>
      <c r="C61" s="276" t="s">
        <v>51</v>
      </c>
      <c r="D61" s="281" t="s">
        <v>1</v>
      </c>
      <c r="E61" s="281" t="s">
        <v>3</v>
      </c>
      <c r="F61" s="41" t="s">
        <v>78</v>
      </c>
    </row>
    <row r="62" spans="1:6" ht="12.75">
      <c r="A62" s="56">
        <v>11</v>
      </c>
      <c r="B62" s="283" t="s">
        <v>0</v>
      </c>
      <c r="C62" s="276" t="s">
        <v>51</v>
      </c>
      <c r="D62" s="281" t="s">
        <v>1</v>
      </c>
      <c r="E62" s="281" t="s">
        <v>3</v>
      </c>
      <c r="F62" s="41" t="s">
        <v>78</v>
      </c>
    </row>
    <row r="63" ht="12.75">
      <c r="B63" s="44"/>
    </row>
    <row r="64" spans="1:3" ht="12.75">
      <c r="A64" s="49"/>
      <c r="C64" s="40"/>
    </row>
    <row r="65" spans="1:3" ht="12.75">
      <c r="A65" s="22">
        <v>1</v>
      </c>
      <c r="B65" s="54" t="str">
        <f>IF(Configurator!$B$17="5","Нет (недоступно для заказа)","Нет")</f>
        <v>Нет</v>
      </c>
      <c r="C65" s="38" t="str">
        <f>IF(Configurator!$B$17="5","*","0")</f>
        <v>0</v>
      </c>
    </row>
    <row r="66" spans="1:3" ht="12.75">
      <c r="A66" s="23">
        <v>2</v>
      </c>
      <c r="B66" s="54" t="str">
        <f>IF(Tendering!$B$14=1,"плата IRIG-B / Порт безопасности / 5 DI","плата IRIG-B / Порт безопасности / 5 DI (недоступно для заказа)")</f>
        <v>плата IRIG-B / Порт безопасности / 5 DI</v>
      </c>
      <c r="C66" s="38" t="str">
        <f>IF(Tendering!$B$14=1,"1","*")</f>
        <v>1</v>
      </c>
    </row>
    <row r="67" spans="1:3" ht="12.75">
      <c r="A67" s="23">
        <v>3</v>
      </c>
      <c r="B67" s="54" t="str">
        <f>IF(Configurator!$B$17="5","Контроль 2-х термисторов (недоступно для заказа)","Контроль 2-х термисторов")</f>
        <v>Контроль 2-х термисторов</v>
      </c>
      <c r="C67" s="38" t="str">
        <f>IF(Configurator!$B$17="5","*","3")</f>
        <v>3</v>
      </c>
    </row>
    <row r="68" spans="1:3" ht="12.75">
      <c r="A68" s="56">
        <v>4</v>
      </c>
      <c r="B68" s="55" t="str">
        <f>IF(Configurator!$B$17="5","Контроль 6-ти RTD (недоступно для заказа)","Контроль 6-ти RTD")</f>
        <v>Контроль 6-ти RTD</v>
      </c>
      <c r="C68" s="39" t="str">
        <f>IF(Configurator!$B$17="5","*","A")</f>
        <v>A</v>
      </c>
    </row>
    <row r="69" ht="12.75">
      <c r="B69" s="44"/>
    </row>
    <row r="70" spans="1:3" ht="12.75">
      <c r="A70" s="49"/>
      <c r="C70" s="40"/>
    </row>
    <row r="71" spans="1:3" ht="12.75">
      <c r="A71" s="22">
        <v>1</v>
      </c>
      <c r="B71" s="275" t="s">
        <v>105</v>
      </c>
      <c r="C71" s="276">
        <v>0</v>
      </c>
    </row>
    <row r="72" spans="1:3" ht="12.75">
      <c r="A72" s="56">
        <v>2</v>
      </c>
      <c r="B72" s="55" t="str">
        <f>IF(Configurator!$B$23="1","2 аналоговых выхода (недоступно для заказа) ","2 аналоговых выхода")</f>
        <v>2 аналоговых выхода</v>
      </c>
      <c r="C72" s="39" t="str">
        <f>IF(Configurator!$B$23="1","*","2")</f>
        <v>2</v>
      </c>
    </row>
  </sheetData>
  <sheetProtection password="DFED" sheet="1"/>
  <printOptions gridLines="1"/>
  <pageMargins left="0.75" right="0.75" top="0.19" bottom="0.19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B30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1.28125" style="293" customWidth="1"/>
    <col min="2" max="2" width="26.421875" style="302" customWidth="1"/>
    <col min="3" max="26" width="2.8515625" style="300" customWidth="1"/>
    <col min="27" max="27" width="23.00390625" style="293" customWidth="1"/>
    <col min="28" max="16384" width="11.421875" style="293" customWidth="1"/>
  </cols>
  <sheetData>
    <row r="1" spans="1:28" ht="17.25" customHeight="1">
      <c r="A1" s="290"/>
      <c r="B1" s="291"/>
      <c r="C1" s="292">
        <f>IF(C3&lt;&gt;"",COLUMN(C:C)-2,"")</f>
        <v>1</v>
      </c>
      <c r="D1" s="292">
        <f aca="true" t="shared" si="0" ref="D1:Z1">IF(D3&lt;&gt;"",COLUMN(D$1:D$65536)-2,"")</f>
        <v>2</v>
      </c>
      <c r="E1" s="292">
        <f t="shared" si="0"/>
        <v>3</v>
      </c>
      <c r="F1" s="292">
        <f t="shared" si="0"/>
        <v>4</v>
      </c>
      <c r="G1" s="292">
        <f t="shared" si="0"/>
        <v>5</v>
      </c>
      <c r="H1" s="292">
        <f t="shared" si="0"/>
        <v>6</v>
      </c>
      <c r="I1" s="292">
        <f t="shared" si="0"/>
        <v>7</v>
      </c>
      <c r="J1" s="292">
        <f t="shared" si="0"/>
        <v>8</v>
      </c>
      <c r="K1" s="292">
        <f t="shared" si="0"/>
        <v>9</v>
      </c>
      <c r="L1" s="292">
        <f t="shared" si="0"/>
        <v>10</v>
      </c>
      <c r="M1" s="292">
        <f t="shared" si="0"/>
        <v>11</v>
      </c>
      <c r="N1" s="292">
        <f t="shared" si="0"/>
        <v>12</v>
      </c>
      <c r="O1" s="292">
        <f t="shared" si="0"/>
        <v>13</v>
      </c>
      <c r="P1" s="292">
        <f t="shared" si="0"/>
        <v>14</v>
      </c>
      <c r="Q1" s="292">
        <f t="shared" si="0"/>
        <v>15</v>
      </c>
      <c r="R1" s="292">
        <f t="shared" si="0"/>
      </c>
      <c r="S1" s="292">
        <f t="shared" si="0"/>
      </c>
      <c r="T1" s="292">
        <f t="shared" si="0"/>
      </c>
      <c r="U1" s="292">
        <f t="shared" si="0"/>
      </c>
      <c r="V1" s="292">
        <f t="shared" si="0"/>
      </c>
      <c r="W1" s="292">
        <f t="shared" si="0"/>
      </c>
      <c r="X1" s="292">
        <f t="shared" si="0"/>
      </c>
      <c r="Y1" s="292">
        <f t="shared" si="0"/>
      </c>
      <c r="Z1" s="292">
        <f t="shared" si="0"/>
      </c>
      <c r="AA1" s="292">
        <f>MAX(C1:Z1,AB1)-5</f>
        <v>14</v>
      </c>
      <c r="AB1" s="292">
        <f>MAX(AB5:AB30)-4</f>
        <v>19</v>
      </c>
    </row>
    <row r="2" spans="1:27" ht="13.5" thickBot="1">
      <c r="A2" s="294" t="s">
        <v>84</v>
      </c>
      <c r="B2" s="327" t="s">
        <v>146</v>
      </c>
      <c r="C2" s="295" t="str">
        <f>MID($B$2,COLUMN(C:C)-2,1)</f>
        <v>P</v>
      </c>
      <c r="D2" s="295" t="str">
        <f aca="true" t="shared" si="1" ref="D2:AA2">MID($B$2,COLUMN(D$1:D$65536)-2,1)</f>
        <v>2</v>
      </c>
      <c r="E2" s="295" t="str">
        <f t="shared" si="1"/>
        <v>2</v>
      </c>
      <c r="F2" s="295" t="str">
        <f t="shared" si="1"/>
        <v>0</v>
      </c>
      <c r="G2" s="295" t="str">
        <f t="shared" si="1"/>
        <v>C</v>
      </c>
      <c r="H2" s="295" t="str">
        <f t="shared" si="1"/>
        <v>0</v>
      </c>
      <c r="I2" s="295" t="str">
        <f t="shared" si="1"/>
        <v>1</v>
      </c>
      <c r="J2" s="295" t="str">
        <f t="shared" si="1"/>
        <v>Z</v>
      </c>
      <c r="K2" s="295" t="str">
        <f t="shared" si="1"/>
        <v>1</v>
      </c>
      <c r="L2" s="295" t="str">
        <f t="shared" si="1"/>
        <v>1</v>
      </c>
      <c r="M2" s="295" t="str">
        <f t="shared" si="1"/>
        <v>2</v>
      </c>
      <c r="N2" s="295" t="str">
        <f t="shared" si="1"/>
        <v>0</v>
      </c>
      <c r="O2" s="295" t="str">
        <f t="shared" si="1"/>
        <v>2</v>
      </c>
      <c r="P2" s="295" t="str">
        <f t="shared" si="1"/>
        <v>A</v>
      </c>
      <c r="Q2" s="295" t="str">
        <f t="shared" si="1"/>
        <v>C</v>
      </c>
      <c r="R2" s="295">
        <f t="shared" si="1"/>
      </c>
      <c r="S2" s="295">
        <f t="shared" si="1"/>
      </c>
      <c r="T2" s="295">
        <f t="shared" si="1"/>
      </c>
      <c r="U2" s="295">
        <f t="shared" si="1"/>
      </c>
      <c r="V2" s="295">
        <f>MID($B$2,COLUMN(V:V)-2,1)</f>
      </c>
      <c r="W2" s="295">
        <f t="shared" si="1"/>
      </c>
      <c r="X2" s="295">
        <f t="shared" si="1"/>
      </c>
      <c r="Y2" s="295">
        <f t="shared" si="1"/>
      </c>
      <c r="Z2" s="295">
        <f t="shared" si="1"/>
      </c>
      <c r="AA2" s="295">
        <f t="shared" si="1"/>
      </c>
    </row>
    <row r="3" spans="1:27" ht="13.5" thickBot="1">
      <c r="A3" s="296" t="s">
        <v>85</v>
      </c>
      <c r="B3" s="297" t="str">
        <f>C3&amp;D3&amp;E3&amp;F3&amp;G3&amp;H3&amp;I3&amp;J3&amp;K3&amp;L3&amp;M3&amp;N3&amp;O3&amp;P3&amp;Q3&amp;R3&amp;S3&amp;T3&amp;U3&amp;V3&amp;W3&amp;X3&amp;Y3&amp;Z3</f>
        <v>P220C00Z1*200BC</v>
      </c>
      <c r="C3" s="298" t="str">
        <f>+C5&amp;C6&amp;C7&amp;C8&amp;C9&amp;C10&amp;C11&amp;C12&amp;C13&amp;C14&amp;C15&amp;C16&amp;C17&amp;C18&amp;C19&amp;C20&amp;C21&amp;C22&amp;C23&amp;C24&amp;C25&amp;C26&amp;C27&amp;C28&amp;C29&amp;C30</f>
        <v>P</v>
      </c>
      <c r="D3" s="298" t="str">
        <f aca="true" t="shared" si="2" ref="D3:Z3">+D5&amp;D6&amp;D7&amp;D8&amp;D9&amp;D10&amp;D11&amp;D12&amp;D13&amp;D14&amp;D15&amp;D16&amp;D17&amp;D18&amp;D19&amp;D20&amp;D21&amp;D22&amp;D23&amp;D24&amp;D25&amp;D26&amp;D27&amp;D28&amp;D29&amp;D30</f>
        <v>2</v>
      </c>
      <c r="E3" s="298" t="str">
        <f t="shared" si="2"/>
        <v>2</v>
      </c>
      <c r="F3" s="298" t="str">
        <f t="shared" si="2"/>
        <v>0</v>
      </c>
      <c r="G3" s="298" t="str">
        <f t="shared" si="2"/>
        <v>C</v>
      </c>
      <c r="H3" s="298" t="str">
        <f t="shared" si="2"/>
        <v>0</v>
      </c>
      <c r="I3" s="298" t="str">
        <f t="shared" si="2"/>
        <v>0</v>
      </c>
      <c r="J3" s="298" t="str">
        <f t="shared" si="2"/>
        <v>Z</v>
      </c>
      <c r="K3" s="298" t="str">
        <f t="shared" si="2"/>
        <v>1</v>
      </c>
      <c r="L3" s="298" t="str">
        <f t="shared" si="2"/>
        <v>*</v>
      </c>
      <c r="M3" s="298" t="str">
        <f t="shared" si="2"/>
        <v>2</v>
      </c>
      <c r="N3" s="298" t="str">
        <f t="shared" si="2"/>
        <v>0</v>
      </c>
      <c r="O3" s="298" t="str">
        <f t="shared" si="2"/>
        <v>0</v>
      </c>
      <c r="P3" s="298" t="str">
        <f t="shared" si="2"/>
        <v>B</v>
      </c>
      <c r="Q3" s="298" t="str">
        <f t="shared" si="2"/>
        <v>C</v>
      </c>
      <c r="R3" s="298">
        <f t="shared" si="2"/>
      </c>
      <c r="S3" s="298">
        <f t="shared" si="2"/>
      </c>
      <c r="T3" s="298">
        <f t="shared" si="2"/>
      </c>
      <c r="U3" s="298">
        <f t="shared" si="2"/>
      </c>
      <c r="V3" s="298">
        <f t="shared" si="2"/>
      </c>
      <c r="W3" s="298">
        <f t="shared" si="2"/>
      </c>
      <c r="X3" s="298">
        <f t="shared" si="2"/>
      </c>
      <c r="Y3" s="298">
        <f t="shared" si="2"/>
      </c>
      <c r="Z3" s="298">
        <f t="shared" si="2"/>
      </c>
      <c r="AA3" s="298" t="s">
        <v>86</v>
      </c>
    </row>
    <row r="4" ht="12.75">
      <c r="B4" s="299">
        <v>0</v>
      </c>
    </row>
    <row r="5" spans="1:28" ht="12.75">
      <c r="A5" s="293" t="s">
        <v>87</v>
      </c>
      <c r="B5" s="301"/>
      <c r="C5" s="300" t="s">
        <v>88</v>
      </c>
      <c r="AB5" s="293">
        <f>+IF(AND(ISBLANK(A5),ISBLANK(B5)),0,ROW(A5))</f>
        <v>5</v>
      </c>
    </row>
    <row r="6" spans="1:28" ht="12.75">
      <c r="A6" s="293" t="s">
        <v>89</v>
      </c>
      <c r="B6" s="301"/>
      <c r="D6" s="300">
        <v>2</v>
      </c>
      <c r="AB6" s="293">
        <f aca="true" t="shared" si="3" ref="AB6:AB20">+IF(AND(ISBLANK(A6),ISBLANK(B6)),0,ROW(A6))</f>
        <v>6</v>
      </c>
    </row>
    <row r="7" spans="1:28" ht="12.75">
      <c r="A7" s="293" t="s">
        <v>90</v>
      </c>
      <c r="B7" s="301"/>
      <c r="E7" s="300">
        <v>2</v>
      </c>
      <c r="AB7" s="293">
        <f t="shared" si="3"/>
        <v>7</v>
      </c>
    </row>
    <row r="8" spans="1:28" ht="12.75">
      <c r="A8" s="293" t="s">
        <v>91</v>
      </c>
      <c r="B8" s="301"/>
      <c r="F8" s="300">
        <v>0</v>
      </c>
      <c r="G8" s="300" t="s">
        <v>3</v>
      </c>
      <c r="H8" s="300">
        <v>0</v>
      </c>
      <c r="AB8" s="293">
        <f t="shared" si="3"/>
        <v>8</v>
      </c>
    </row>
    <row r="9" spans="1:28" ht="12.75">
      <c r="A9" s="303" t="s">
        <v>92</v>
      </c>
      <c r="B9" s="288">
        <v>1</v>
      </c>
      <c r="I9" s="300">
        <f>IF(OR(ISERR(Configurator!E$5),ISNA(Configurator!E$5)),"_",Configurator!E$5)</f>
        <v>0</v>
      </c>
      <c r="AB9" s="293">
        <f>+IF(AND(ISBLANK(A9),ISBLANK(#REF!)),0,ROW(A9))</f>
        <v>9</v>
      </c>
    </row>
    <row r="10" spans="1:28" ht="12.75">
      <c r="A10" s="303" t="s">
        <v>93</v>
      </c>
      <c r="B10" s="289">
        <v>2</v>
      </c>
      <c r="J10" s="300" t="str">
        <f>IF(OR(ISERR(Configurator!F$5),ISNA(Configurator!F$5)),"_",Configurator!F$5)</f>
        <v>Z</v>
      </c>
      <c r="AB10" s="293">
        <f>+IF(AND(ISBLANK(A10),ISBLANK(#REF!)),0,ROW(A10))</f>
        <v>10</v>
      </c>
    </row>
    <row r="11" spans="1:28" ht="12.75">
      <c r="A11" s="303" t="s">
        <v>94</v>
      </c>
      <c r="B11" s="289">
        <v>1</v>
      </c>
      <c r="AB11" s="293">
        <f>+IF(AND(ISBLANK(A11),ISBLANK(#REF!)),0,ROW(A11))</f>
        <v>11</v>
      </c>
    </row>
    <row r="12" spans="1:28" ht="12.75">
      <c r="A12" s="303" t="s">
        <v>95</v>
      </c>
      <c r="B12" s="288">
        <v>1</v>
      </c>
      <c r="K12" s="300">
        <f>IF(OR(ISERR(Configurator!G$5),ISNA(Configurator!G$5)),"_",Configurator!G$5)</f>
        <v>1</v>
      </c>
      <c r="AB12" s="293">
        <f>+IF(AND(ISBLANK(A12),ISBLANK(#REF!)),0,ROW(A12))</f>
        <v>12</v>
      </c>
    </row>
    <row r="13" spans="1:28" ht="12.75">
      <c r="A13" s="303" t="s">
        <v>96</v>
      </c>
      <c r="B13" s="288">
        <v>9</v>
      </c>
      <c r="L13" s="300" t="str">
        <f>IF(OR(ISERR(Configurator!H$5),ISNA(Configurator!H$5)),"_",Configurator!H$5)</f>
        <v>*</v>
      </c>
      <c r="M13" s="300" t="str">
        <f>IF(OR(ISERR(Configurator!I$5),ISNA(Configurator!I$5)),"_",Configurator!I$5)</f>
        <v>2</v>
      </c>
      <c r="AB13" s="293">
        <f>+IF(AND(ISBLANK(A13),ISBLANK(#REF!)),0,ROW(A13))</f>
        <v>13</v>
      </c>
    </row>
    <row r="14" spans="1:28" ht="12.75">
      <c r="A14" s="303" t="s">
        <v>97</v>
      </c>
      <c r="B14" s="289">
        <v>1</v>
      </c>
      <c r="P14" s="300" t="str">
        <f>IF(OR(ISERR(Configurator!L$5),ISNA(Configurator!L$5)),"_",Configurator!L$5)</f>
        <v>B</v>
      </c>
      <c r="Q14" s="300" t="str">
        <f>IF(OR(ISERR(Configurator!M$5),ISNA(Configurator!M$5)),"_",Configurator!M$5)</f>
        <v>C</v>
      </c>
      <c r="AB14" s="293">
        <f>+IF(AND(ISBLANK(A14),ISBLANK(#REF!)),0,ROW(A14))</f>
        <v>14</v>
      </c>
    </row>
    <row r="15" spans="1:28" ht="12.75">
      <c r="A15" s="303" t="s">
        <v>98</v>
      </c>
      <c r="B15" s="288">
        <v>1</v>
      </c>
      <c r="N15" s="300" t="str">
        <f>IF(OR(ISERR(Configurator!J$5),ISNA(Configurator!J$5)),"_",Configurator!J$5)</f>
        <v>0</v>
      </c>
      <c r="AB15" s="293">
        <f>+IF(AND(ISBLANK(A15),ISBLANK(#REF!)),0,ROW(A15))</f>
        <v>15</v>
      </c>
    </row>
    <row r="16" spans="1:28" ht="12.75">
      <c r="A16" s="303" t="s">
        <v>99</v>
      </c>
      <c r="B16" s="288">
        <v>1</v>
      </c>
      <c r="O16" s="300">
        <f>IF(OR(ISERR(Configurator!K$5),ISNA(Configurator!K$5)),"_",Configurator!K$5)</f>
        <v>0</v>
      </c>
      <c r="AB16" s="293">
        <f>+IF(AND(ISBLANK(A16),ISBLANK(#REF!)),0,ROW(A16))</f>
        <v>16</v>
      </c>
    </row>
    <row r="17" spans="2:28" ht="12.75">
      <c r="B17" s="301">
        <v>1</v>
      </c>
      <c r="AB17" s="293">
        <f t="shared" si="3"/>
        <v>17</v>
      </c>
    </row>
    <row r="18" spans="2:28" ht="12.75">
      <c r="B18" s="301">
        <v>1</v>
      </c>
      <c r="AB18" s="293">
        <f t="shared" si="3"/>
        <v>18</v>
      </c>
    </row>
    <row r="19" spans="2:28" ht="12.75">
      <c r="B19" s="301"/>
      <c r="AB19" s="293">
        <f t="shared" si="3"/>
        <v>0</v>
      </c>
    </row>
    <row r="20" spans="2:28" ht="12.75">
      <c r="B20" s="301"/>
      <c r="AB20" s="293">
        <f t="shared" si="3"/>
        <v>0</v>
      </c>
    </row>
    <row r="21" spans="2:28" ht="12.75">
      <c r="B21" s="301"/>
      <c r="AB21" s="293">
        <f>+IF(AND(ISBLANK(A21),ISBLANK(B22)),0,ROW(A21))</f>
        <v>0</v>
      </c>
    </row>
    <row r="22" spans="2:28" ht="12.75">
      <c r="B22" s="301"/>
      <c r="AB22" s="293">
        <f>+IF(AND(ISBLANK(A22),ISBLANK(B23)),0,ROW(A22))</f>
        <v>0</v>
      </c>
    </row>
    <row r="23" spans="2:28" ht="12.75">
      <c r="B23" s="301"/>
      <c r="AB23" s="293">
        <f>+IF(AND(ISBLANK(A23),ISBLANK(#REF!)),0,ROW(A23))</f>
        <v>23</v>
      </c>
    </row>
    <row r="24" spans="2:28" ht="12.75">
      <c r="B24" s="301"/>
      <c r="AB24" s="293">
        <f aca="true" t="shared" si="4" ref="AB24:AB30">+IF(AND(ISBLANK(A24),ISBLANK(B24)),0,ROW(A24))</f>
        <v>0</v>
      </c>
    </row>
    <row r="25" spans="2:28" ht="12.75">
      <c r="B25" s="301"/>
      <c r="AB25" s="293">
        <f t="shared" si="4"/>
        <v>0</v>
      </c>
    </row>
    <row r="26" spans="2:28" ht="12.75">
      <c r="B26" s="301"/>
      <c r="AB26" s="293">
        <f t="shared" si="4"/>
        <v>0</v>
      </c>
    </row>
    <row r="27" spans="2:28" ht="12.75">
      <c r="B27" s="301"/>
      <c r="AB27" s="293">
        <f t="shared" si="4"/>
        <v>0</v>
      </c>
    </row>
    <row r="28" spans="2:28" ht="12.75">
      <c r="B28" s="301"/>
      <c r="AB28" s="293">
        <f t="shared" si="4"/>
        <v>0</v>
      </c>
    </row>
    <row r="29" spans="2:28" ht="12.75">
      <c r="B29" s="301"/>
      <c r="AB29" s="293">
        <f t="shared" si="4"/>
        <v>0</v>
      </c>
    </row>
    <row r="30" spans="2:28" ht="12.75">
      <c r="B30" s="301"/>
      <c r="AB30" s="293">
        <f t="shared" si="4"/>
        <v>0</v>
      </c>
    </row>
  </sheetData>
  <sheetProtection/>
  <conditionalFormatting sqref="B3:AA3">
    <cfRule type="expression" priority="1" dxfId="0" stopIfTrue="1">
      <formula>AND(B3=B2,B3&lt;&gt;"")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81"/>
  <sheetViews>
    <sheetView zoomScale="75" zoomScaleNormal="75" zoomScalePageLayoutView="0" workbookViewId="0" topLeftCell="A1">
      <pane xSplit="1" ySplit="1" topLeftCell="B2" activePane="bottomRight" state="frozen"/>
      <selection pane="topLeft" activeCell="A76" sqref="A76:D76"/>
      <selection pane="topRight" activeCell="A76" sqref="A76:D76"/>
      <selection pane="bottomLeft" activeCell="A76" sqref="A76:D76"/>
      <selection pane="bottomRight" activeCell="C77" sqref="C77"/>
    </sheetView>
  </sheetViews>
  <sheetFormatPr defaultColWidth="9.140625" defaultRowHeight="12.75"/>
  <cols>
    <col min="1" max="1" width="30.00390625" style="11" bestFit="1" customWidth="1"/>
    <col min="2" max="2" width="44.140625" style="1" bestFit="1" customWidth="1"/>
    <col min="3" max="3" width="51.7109375" style="1" bestFit="1" customWidth="1"/>
  </cols>
  <sheetData>
    <row r="1" spans="1:3" s="11" customFormat="1" ht="12.75">
      <c r="A1" s="7">
        <f>Configurator!$B$6</f>
        <v>43160</v>
      </c>
      <c r="B1" s="62">
        <v>40179</v>
      </c>
      <c r="C1" s="63">
        <v>40275</v>
      </c>
    </row>
    <row r="2" spans="1:3" s="4" customFormat="1" ht="12.75">
      <c r="A2" s="28" t="s">
        <v>17</v>
      </c>
      <c r="B2" s="6" t="s">
        <v>76</v>
      </c>
      <c r="C2" s="6" t="s">
        <v>74</v>
      </c>
    </row>
    <row r="3" spans="1:3" s="4" customFormat="1" ht="12.75">
      <c r="A3" s="29"/>
      <c r="B3" s="103" t="s">
        <v>0</v>
      </c>
      <c r="C3" s="8" t="s">
        <v>75</v>
      </c>
    </row>
    <row r="4" spans="1:3" s="4" customFormat="1" ht="12.75">
      <c r="A4" s="29"/>
      <c r="B4" s="118" t="s">
        <v>0</v>
      </c>
      <c r="C4" s="75" t="s">
        <v>73</v>
      </c>
    </row>
    <row r="5" spans="1:3" s="4" customFormat="1" ht="12.75">
      <c r="A5" s="29"/>
      <c r="B5" s="6">
        <v>1</v>
      </c>
      <c r="C5" s="6">
        <v>2</v>
      </c>
    </row>
    <row r="6" spans="1:3" s="4" customFormat="1" ht="12.75">
      <c r="A6" s="29"/>
      <c r="B6" s="8">
        <v>1</v>
      </c>
      <c r="C6" s="8">
        <v>3</v>
      </c>
    </row>
    <row r="7" spans="1:3" s="4" customFormat="1" ht="12.75">
      <c r="A7" s="30"/>
      <c r="B7" s="14">
        <v>1</v>
      </c>
      <c r="C7" s="14">
        <v>1</v>
      </c>
    </row>
    <row r="8" spans="1:3" s="4" customFormat="1" ht="14.25">
      <c r="A8" s="114" t="s">
        <v>43</v>
      </c>
      <c r="B8" s="112" t="s">
        <v>53</v>
      </c>
      <c r="C8" s="112" t="s">
        <v>44</v>
      </c>
    </row>
    <row r="9" spans="1:3" s="4" customFormat="1" ht="14.25">
      <c r="A9" s="114"/>
      <c r="B9" s="133" t="s">
        <v>0</v>
      </c>
      <c r="C9" s="113" t="s">
        <v>45</v>
      </c>
    </row>
    <row r="10" spans="1:3" s="4" customFormat="1" ht="14.25">
      <c r="A10" s="114"/>
      <c r="B10" s="133" t="s">
        <v>0</v>
      </c>
      <c r="C10" s="113" t="s">
        <v>46</v>
      </c>
    </row>
    <row r="11" spans="1:3" s="4" customFormat="1" ht="14.25">
      <c r="A11" s="114"/>
      <c r="B11" s="134" t="s">
        <v>0</v>
      </c>
      <c r="C11" s="135" t="s">
        <v>47</v>
      </c>
    </row>
    <row r="12" spans="1:3" s="4" customFormat="1" ht="14.25">
      <c r="A12" s="29"/>
      <c r="B12" s="104">
        <v>0</v>
      </c>
      <c r="C12" s="104">
        <v>0</v>
      </c>
    </row>
    <row r="13" spans="1:3" s="4" customFormat="1" ht="14.25">
      <c r="A13" s="29"/>
      <c r="B13" s="104">
        <v>0</v>
      </c>
      <c r="C13" s="104">
        <v>1</v>
      </c>
    </row>
    <row r="14" spans="1:3" s="4" customFormat="1" ht="14.25">
      <c r="A14" s="29"/>
      <c r="B14" s="104">
        <v>0</v>
      </c>
      <c r="C14" s="104">
        <v>2</v>
      </c>
    </row>
    <row r="15" spans="1:3" s="4" customFormat="1" ht="14.25">
      <c r="A15" s="29"/>
      <c r="B15" s="105">
        <v>0</v>
      </c>
      <c r="C15" s="105">
        <v>3</v>
      </c>
    </row>
    <row r="16" spans="1:3" s="4" customFormat="1" ht="12.75">
      <c r="A16" s="28" t="s">
        <v>18</v>
      </c>
      <c r="B16" s="6" t="s">
        <v>6</v>
      </c>
      <c r="C16" s="8" t="s">
        <v>19</v>
      </c>
    </row>
    <row r="17" spans="1:3" s="4" customFormat="1" ht="12.75">
      <c r="A17" s="29"/>
      <c r="B17" s="8" t="s">
        <v>7</v>
      </c>
      <c r="C17" s="23" t="s">
        <v>72</v>
      </c>
    </row>
    <row r="18" spans="1:3" s="4" customFormat="1" ht="12.75">
      <c r="A18" s="29"/>
      <c r="B18" s="8" t="s">
        <v>8</v>
      </c>
      <c r="C18" s="103" t="s">
        <v>0</v>
      </c>
    </row>
    <row r="19" spans="1:3" s="4" customFormat="1" ht="12.75">
      <c r="A19" s="28" t="s">
        <v>23</v>
      </c>
      <c r="B19" s="6" t="s">
        <v>9</v>
      </c>
      <c r="C19" s="6" t="s">
        <v>9</v>
      </c>
    </row>
    <row r="20" spans="1:3" s="4" customFormat="1" ht="12.75">
      <c r="A20" s="29"/>
      <c r="B20" s="8" t="s">
        <v>55</v>
      </c>
      <c r="C20" s="8" t="s">
        <v>55</v>
      </c>
    </row>
    <row r="21" spans="1:3" s="4" customFormat="1" ht="12.75">
      <c r="A21" s="29"/>
      <c r="B21" s="8" t="s">
        <v>24</v>
      </c>
      <c r="C21" s="8" t="s">
        <v>24</v>
      </c>
    </row>
    <row r="22" spans="1:3" s="4" customFormat="1" ht="12.75">
      <c r="A22" s="29"/>
      <c r="B22" s="6">
        <v>1</v>
      </c>
      <c r="C22" s="6">
        <v>1</v>
      </c>
    </row>
    <row r="23" spans="1:3" s="4" customFormat="1" ht="12.75">
      <c r="A23" s="29"/>
      <c r="B23" s="8">
        <v>2</v>
      </c>
      <c r="C23" s="8">
        <v>2</v>
      </c>
    </row>
    <row r="24" spans="1:3" s="4" customFormat="1" ht="12.75">
      <c r="A24" s="29"/>
      <c r="B24" s="8">
        <v>3</v>
      </c>
      <c r="C24" s="8">
        <v>3</v>
      </c>
    </row>
    <row r="25" spans="1:3" s="4" customFormat="1" ht="12.75">
      <c r="A25" s="28" t="s">
        <v>41</v>
      </c>
      <c r="B25" s="6" t="s">
        <v>10</v>
      </c>
      <c r="C25" s="22" t="s">
        <v>10</v>
      </c>
    </row>
    <row r="26" spans="1:3" s="4" customFormat="1" ht="12.75">
      <c r="A26" s="29"/>
      <c r="B26" s="8" t="s">
        <v>56</v>
      </c>
      <c r="C26" s="23" t="s">
        <v>32</v>
      </c>
    </row>
    <row r="27" spans="1:3" s="4" customFormat="1" ht="12.75">
      <c r="A27" s="29"/>
      <c r="B27" s="8" t="s">
        <v>11</v>
      </c>
      <c r="C27" s="23" t="s">
        <v>11</v>
      </c>
    </row>
    <row r="28" spans="1:3" s="4" customFormat="1" ht="12.75">
      <c r="A28" s="29"/>
      <c r="B28" s="8" t="s">
        <v>13</v>
      </c>
      <c r="C28" s="23" t="s">
        <v>13</v>
      </c>
    </row>
    <row r="29" spans="1:3" s="4" customFormat="1" ht="12.75">
      <c r="A29" s="29"/>
      <c r="B29" s="8" t="s">
        <v>151</v>
      </c>
      <c r="C29" s="8" t="s">
        <v>151</v>
      </c>
    </row>
    <row r="30" spans="1:3" s="4" customFormat="1" ht="12.75">
      <c r="A30" s="29"/>
      <c r="B30" s="8" t="s">
        <v>14</v>
      </c>
      <c r="C30" s="23" t="s">
        <v>14</v>
      </c>
    </row>
    <row r="31" spans="1:3" s="4" customFormat="1" ht="12.75">
      <c r="A31" s="29"/>
      <c r="B31" s="8" t="s">
        <v>12</v>
      </c>
      <c r="C31" s="23" t="s">
        <v>12</v>
      </c>
    </row>
    <row r="32" spans="1:3" s="4" customFormat="1" ht="12.75">
      <c r="A32" s="29"/>
      <c r="B32" s="8" t="s">
        <v>156</v>
      </c>
      <c r="C32" s="8" t="s">
        <v>156</v>
      </c>
    </row>
    <row r="33" spans="1:3" s="4" customFormat="1" ht="12.75">
      <c r="A33" s="29"/>
      <c r="B33" s="8" t="s">
        <v>57</v>
      </c>
      <c r="C33" s="8" t="s">
        <v>57</v>
      </c>
    </row>
    <row r="34" spans="1:3" s="4" customFormat="1" ht="12.75">
      <c r="A34" s="29"/>
      <c r="B34" s="8" t="s">
        <v>152</v>
      </c>
      <c r="C34" s="8" t="s">
        <v>152</v>
      </c>
    </row>
    <row r="35" spans="1:3" s="4" customFormat="1" ht="12.75">
      <c r="A35" s="29"/>
      <c r="B35" s="8" t="s">
        <v>58</v>
      </c>
      <c r="C35" s="8" t="s">
        <v>58</v>
      </c>
    </row>
    <row r="36" spans="1:3" s="4" customFormat="1" ht="12.75">
      <c r="A36" s="29"/>
      <c r="B36" s="8" t="s">
        <v>153</v>
      </c>
      <c r="C36" s="8" t="s">
        <v>153</v>
      </c>
    </row>
    <row r="37" spans="1:3" s="4" customFormat="1" ht="12.75">
      <c r="A37" s="29"/>
      <c r="B37" s="8" t="s">
        <v>154</v>
      </c>
      <c r="C37" s="8" t="s">
        <v>154</v>
      </c>
    </row>
    <row r="38" spans="1:3" s="4" customFormat="1" ht="12.75">
      <c r="A38" s="29"/>
      <c r="B38" s="32" t="s">
        <v>155</v>
      </c>
      <c r="C38" s="32" t="s">
        <v>155</v>
      </c>
    </row>
    <row r="39" spans="1:3" s="4" customFormat="1" ht="12.75">
      <c r="A39" s="29"/>
      <c r="B39" s="89" t="s">
        <v>157</v>
      </c>
      <c r="C39" s="89" t="s">
        <v>34</v>
      </c>
    </row>
    <row r="40" spans="1:3" s="4" customFormat="1" ht="12.75">
      <c r="A40" s="28" t="s">
        <v>42</v>
      </c>
      <c r="B40" s="6">
        <v>0</v>
      </c>
      <c r="C40" s="6">
        <v>0</v>
      </c>
    </row>
    <row r="41" spans="1:3" s="4" customFormat="1" ht="12.75">
      <c r="A41" s="29"/>
      <c r="B41" s="8">
        <v>1</v>
      </c>
      <c r="C41" s="8">
        <v>1</v>
      </c>
    </row>
    <row r="42" spans="1:3" s="4" customFormat="1" ht="12.75">
      <c r="A42" s="29"/>
      <c r="B42" s="8">
        <v>2</v>
      </c>
      <c r="C42" s="8">
        <v>2</v>
      </c>
    </row>
    <row r="43" spans="1:3" s="4" customFormat="1" ht="12.75">
      <c r="A43" s="29"/>
      <c r="B43" s="8">
        <v>3</v>
      </c>
      <c r="C43" s="8">
        <v>3</v>
      </c>
    </row>
    <row r="44" spans="1:3" s="4" customFormat="1" ht="12.75">
      <c r="A44" s="29"/>
      <c r="B44" s="8" t="s">
        <v>4</v>
      </c>
      <c r="C44" s="8" t="s">
        <v>4</v>
      </c>
    </row>
    <row r="45" spans="1:3" s="4" customFormat="1" ht="12.75">
      <c r="A45" s="29"/>
      <c r="B45" s="8">
        <v>5</v>
      </c>
      <c r="C45" s="8">
        <v>5</v>
      </c>
    </row>
    <row r="46" spans="1:3" s="4" customFormat="1" ht="12.75">
      <c r="A46" s="29"/>
      <c r="B46" s="8">
        <v>6</v>
      </c>
      <c r="C46" s="8">
        <v>6</v>
      </c>
    </row>
    <row r="47" spans="1:3" s="4" customFormat="1" ht="12.75">
      <c r="A47" s="29"/>
      <c r="B47" s="8" t="s">
        <v>4</v>
      </c>
      <c r="C47" s="8" t="s">
        <v>4</v>
      </c>
    </row>
    <row r="48" spans="1:3" s="4" customFormat="1" ht="12.75">
      <c r="A48" s="29"/>
      <c r="B48" s="8">
        <v>8</v>
      </c>
      <c r="C48" s="8">
        <v>8</v>
      </c>
    </row>
    <row r="49" spans="1:3" s="4" customFormat="1" ht="12.75">
      <c r="A49" s="29"/>
      <c r="B49" s="8" t="s">
        <v>4</v>
      </c>
      <c r="C49" s="8" t="s">
        <v>4</v>
      </c>
    </row>
    <row r="50" spans="1:3" s="4" customFormat="1" ht="12.75">
      <c r="A50" s="29"/>
      <c r="B50" s="8" t="s">
        <v>1</v>
      </c>
      <c r="C50" s="8" t="s">
        <v>1</v>
      </c>
    </row>
    <row r="51" spans="1:3" s="4" customFormat="1" ht="12.75">
      <c r="A51" s="29"/>
      <c r="B51" s="8" t="s">
        <v>4</v>
      </c>
      <c r="C51" s="8" t="s">
        <v>4</v>
      </c>
    </row>
    <row r="52" spans="1:3" s="4" customFormat="1" ht="12.75">
      <c r="A52" s="29"/>
      <c r="B52" s="13" t="s">
        <v>4</v>
      </c>
      <c r="C52" s="13" t="s">
        <v>4</v>
      </c>
    </row>
    <row r="53" spans="1:3" s="4" customFormat="1" ht="12.75">
      <c r="A53" s="29"/>
      <c r="B53" s="8" t="s">
        <v>4</v>
      </c>
      <c r="C53" s="8" t="s">
        <v>4</v>
      </c>
    </row>
    <row r="54" spans="1:3" s="4" customFormat="1" ht="12.75">
      <c r="A54" s="30"/>
      <c r="B54" s="9" t="s">
        <v>4</v>
      </c>
      <c r="C54" s="9" t="s">
        <v>26</v>
      </c>
    </row>
    <row r="55" spans="1:3" s="4" customFormat="1" ht="12.75">
      <c r="A55" s="28" t="s">
        <v>27</v>
      </c>
      <c r="B55" s="6" t="s">
        <v>35</v>
      </c>
      <c r="C55" s="6" t="s">
        <v>35</v>
      </c>
    </row>
    <row r="56" spans="1:3" s="4" customFormat="1" ht="12.75">
      <c r="A56" s="29"/>
      <c r="B56" s="102" t="s">
        <v>0</v>
      </c>
      <c r="C56" s="102" t="s">
        <v>0</v>
      </c>
    </row>
    <row r="57" spans="1:3" s="4" customFormat="1" ht="12.75">
      <c r="A57" s="29" t="s">
        <v>59</v>
      </c>
      <c r="B57" s="22" t="s">
        <v>71</v>
      </c>
      <c r="C57" s="22" t="s">
        <v>51</v>
      </c>
    </row>
    <row r="58" spans="1:3" s="4" customFormat="1" ht="12.75">
      <c r="A58" s="29"/>
      <c r="B58" s="127" t="s">
        <v>0</v>
      </c>
      <c r="C58" s="127" t="s">
        <v>0</v>
      </c>
    </row>
    <row r="59" spans="1:3" s="4" customFormat="1" ht="12.75">
      <c r="A59" s="29"/>
      <c r="B59" s="128" t="s">
        <v>0</v>
      </c>
      <c r="C59" s="129" t="s">
        <v>1</v>
      </c>
    </row>
    <row r="60" spans="1:3" s="4" customFormat="1" ht="12.75">
      <c r="A60" s="29"/>
      <c r="B60" s="128" t="s">
        <v>0</v>
      </c>
      <c r="C60" s="129" t="s">
        <v>1</v>
      </c>
    </row>
    <row r="61" spans="1:3" s="4" customFormat="1" ht="12.75">
      <c r="A61" s="29" t="s">
        <v>60</v>
      </c>
      <c r="B61" s="101" t="s">
        <v>0</v>
      </c>
      <c r="C61" s="6" t="s">
        <v>2</v>
      </c>
    </row>
    <row r="62" spans="1:3" s="4" customFormat="1" ht="12.75">
      <c r="A62" s="29"/>
      <c r="B62" s="103" t="s">
        <v>0</v>
      </c>
      <c r="C62" s="9" t="s">
        <v>2</v>
      </c>
    </row>
    <row r="63" spans="1:3" s="4" customFormat="1" ht="12.75">
      <c r="A63" s="28" t="s">
        <v>20</v>
      </c>
      <c r="B63" s="101" t="s">
        <v>0</v>
      </c>
      <c r="C63" s="27" t="s">
        <v>48</v>
      </c>
    </row>
    <row r="64" spans="1:3" s="4" customFormat="1" ht="12.75">
      <c r="A64" s="29"/>
      <c r="B64" s="103" t="s">
        <v>0</v>
      </c>
      <c r="C64" s="27" t="s">
        <v>49</v>
      </c>
    </row>
    <row r="65" spans="1:3" s="4" customFormat="1" ht="12.75" customHeight="1">
      <c r="A65" s="29"/>
      <c r="B65" s="103" t="s">
        <v>0</v>
      </c>
      <c r="C65" s="27" t="s">
        <v>50</v>
      </c>
    </row>
    <row r="66" spans="1:3" s="4" customFormat="1" ht="12.75" customHeight="1">
      <c r="A66" s="29"/>
      <c r="B66" s="102" t="s">
        <v>0</v>
      </c>
      <c r="C66" s="136" t="s">
        <v>33</v>
      </c>
    </row>
    <row r="67" spans="1:3" ht="12.75">
      <c r="A67" s="29"/>
      <c r="B67" s="24" t="s">
        <v>1</v>
      </c>
      <c r="C67" s="24" t="s">
        <v>16</v>
      </c>
    </row>
    <row r="68" spans="1:3" ht="12.75">
      <c r="A68" s="29"/>
      <c r="B68" s="24" t="s">
        <v>15</v>
      </c>
      <c r="C68" s="24" t="s">
        <v>21</v>
      </c>
    </row>
    <row r="69" spans="1:3" ht="12.75">
      <c r="A69" s="29"/>
      <c r="B69" s="24" t="s">
        <v>5</v>
      </c>
      <c r="C69" s="24" t="s">
        <v>22</v>
      </c>
    </row>
    <row r="70" spans="1:3" ht="12.75">
      <c r="A70" s="30"/>
      <c r="B70" s="56" t="s">
        <v>5</v>
      </c>
      <c r="C70" s="56" t="s">
        <v>36</v>
      </c>
    </row>
    <row r="71" spans="1:3" ht="12.75">
      <c r="A71" s="28" t="s">
        <v>61</v>
      </c>
      <c r="B71" s="6" t="s">
        <v>63</v>
      </c>
      <c r="C71" s="6" t="s">
        <v>63</v>
      </c>
    </row>
    <row r="72" spans="1:3" ht="12.75">
      <c r="A72" s="11" t="s">
        <v>62</v>
      </c>
      <c r="B72" s="8" t="s">
        <v>64</v>
      </c>
      <c r="C72" s="8" t="s">
        <v>64</v>
      </c>
    </row>
    <row r="73" spans="2:3" ht="12.75">
      <c r="B73" s="9" t="s">
        <v>65</v>
      </c>
      <c r="C73" s="9" t="s">
        <v>65</v>
      </c>
    </row>
    <row r="74" spans="2:3" ht="12.75">
      <c r="B74" s="6">
        <v>0</v>
      </c>
      <c r="C74" s="6">
        <v>0</v>
      </c>
    </row>
    <row r="75" spans="2:3" ht="12.75">
      <c r="B75" s="8">
        <v>2</v>
      </c>
      <c r="C75" s="8">
        <v>3</v>
      </c>
    </row>
    <row r="76" spans="1:3" ht="12.75">
      <c r="A76" s="141"/>
      <c r="B76" s="9">
        <v>6</v>
      </c>
      <c r="C76" s="9" t="s">
        <v>1</v>
      </c>
    </row>
    <row r="77" spans="1:3" ht="12.75">
      <c r="A77" s="11" t="s">
        <v>66</v>
      </c>
      <c r="B77" s="142" t="s">
        <v>67</v>
      </c>
      <c r="C77" s="142" t="s">
        <v>68</v>
      </c>
    </row>
    <row r="78" spans="2:3" ht="12.75">
      <c r="B78" s="6" t="s">
        <v>63</v>
      </c>
      <c r="C78" s="6" t="s">
        <v>63</v>
      </c>
    </row>
    <row r="79" spans="2:3" ht="12.75">
      <c r="B79" s="9" t="s">
        <v>70</v>
      </c>
      <c r="C79" s="9" t="s">
        <v>69</v>
      </c>
    </row>
    <row r="80" spans="2:3" ht="12.75">
      <c r="B80" s="6">
        <v>0</v>
      </c>
      <c r="C80" s="6">
        <v>0</v>
      </c>
    </row>
    <row r="81" spans="1:3" ht="12.75">
      <c r="A81" s="141"/>
      <c r="B81" s="9">
        <v>1</v>
      </c>
      <c r="C81" s="9">
        <v>2</v>
      </c>
    </row>
  </sheetData>
  <sheetProtection password="DFED" sheet="1" objects="1" scenarios="1"/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Header>&amp;C&amp;A</oddHeader>
    <oddFooter>&amp;LPage &amp;P of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 T&amp;D P&amp;C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Wright</dc:creator>
  <cp:keywords/>
  <dc:description/>
  <cp:lastModifiedBy>K</cp:lastModifiedBy>
  <cp:lastPrinted>2011-11-18T12:44:27Z</cp:lastPrinted>
  <dcterms:created xsi:type="dcterms:W3CDTF">2001-03-13T08:35:30Z</dcterms:created>
  <dcterms:modified xsi:type="dcterms:W3CDTF">2018-03-01T09:04:29Z</dcterms:modified>
  <cp:category/>
  <cp:version/>
  <cp:contentType/>
  <cp:contentStatus/>
</cp:coreProperties>
</file>