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60" windowHeight="9780" activeTab="0"/>
  </bookViews>
  <sheets>
    <sheet name="Cortec" sheetId="1" r:id="rId1"/>
    <sheet name="Configurator" sheetId="2" r:id="rId2"/>
    <sheet name="Master Text" sheetId="3" r:id="rId3"/>
    <sheet name="Database" sheetId="4" state="hidden" r:id="rId4"/>
    <sheet name="Tendering" sheetId="5" r:id="rId5"/>
    <sheet name="Date Drivers" sheetId="6" state="hidden" r:id="rId6"/>
  </sheets>
  <externalReferences>
    <externalReference r:id="rId9"/>
    <externalReference r:id="rId10"/>
  </externalReferences>
  <definedNames>
    <definedName name="Contacts">#REF!</definedName>
    <definedName name="Input_Area" localSheetId="0">#REF!,#REF!,#REF!,#REF!</definedName>
    <definedName name="Input_Area">#REF!,#REF!,#REF!,#REF!</definedName>
    <definedName name="Input_Area1" localSheetId="0">#REF!,#REF!,#REF!,#REF!,#REF!,#REF!,#REF!,#REF!</definedName>
    <definedName name="Input_Area1">#REF!,#REF!,#REF!,#REF!,#REF!,#REF!,#REF!,#REF!</definedName>
    <definedName name="Input_Area2" localSheetId="0">#REF!,#REF!,#REF!,#REF!</definedName>
    <definedName name="Input_Area2">#REF!,#REF!,#REF!,#REF!</definedName>
    <definedName name="Nomenclature" localSheetId="0">#REF!:#REF!</definedName>
    <definedName name="Nomenclature">#REF!:#REF!</definedName>
  </definedNames>
  <calcPr fullCalcOnLoad="1"/>
</workbook>
</file>

<file path=xl/sharedStrings.xml><?xml version="1.0" encoding="utf-8"?>
<sst xmlns="http://schemas.openxmlformats.org/spreadsheetml/2006/main" count="1581" uniqueCount="228">
  <si>
    <t>A</t>
  </si>
  <si>
    <t>Application</t>
  </si>
  <si>
    <t>*</t>
  </si>
  <si>
    <t>?</t>
  </si>
  <si>
    <t>24 - 60 Vdc</t>
  </si>
  <si>
    <t xml:space="preserve"> </t>
  </si>
  <si>
    <t>48 - 150 Vdc</t>
  </si>
  <si>
    <t>F</t>
  </si>
  <si>
    <t>M</t>
  </si>
  <si>
    <t>French</t>
  </si>
  <si>
    <t>Spanish</t>
  </si>
  <si>
    <t>German</t>
  </si>
  <si>
    <t>Russian</t>
  </si>
  <si>
    <t>Polish</t>
  </si>
  <si>
    <t>Standard</t>
  </si>
  <si>
    <t>S</t>
  </si>
  <si>
    <t>57 - 130 V</t>
  </si>
  <si>
    <t>220 - 480 V</t>
  </si>
  <si>
    <t>B</t>
  </si>
  <si>
    <t>Modbus</t>
  </si>
  <si>
    <t>DNP3.0</t>
  </si>
  <si>
    <t>English / American</t>
  </si>
  <si>
    <t>Italian</t>
  </si>
  <si>
    <t>Portuguese</t>
  </si>
  <si>
    <t>Dutch</t>
  </si>
  <si>
    <t>Czech</t>
  </si>
  <si>
    <t>Hungarian</t>
  </si>
  <si>
    <t>P92</t>
  </si>
  <si>
    <t>C</t>
  </si>
  <si>
    <t>T</t>
  </si>
  <si>
    <t>U</t>
  </si>
  <si>
    <t>H</t>
  </si>
  <si>
    <t>D</t>
  </si>
  <si>
    <t>Variant</t>
  </si>
  <si>
    <t>Voltage Input</t>
  </si>
  <si>
    <t>V</t>
  </si>
  <si>
    <t>W</t>
  </si>
  <si>
    <t>48 - 250 Vdc / 48 - 240 Vac</t>
  </si>
  <si>
    <t>V ?.?</t>
  </si>
  <si>
    <t>1-3</t>
  </si>
  <si>
    <t>Hardware Version</t>
  </si>
  <si>
    <t>Software Version</t>
  </si>
  <si>
    <t>12</t>
  </si>
  <si>
    <t>13</t>
  </si>
  <si>
    <t>Valid Auxiliary Voltage required</t>
  </si>
  <si>
    <t>Areva look &amp; feel, phase 1</t>
  </si>
  <si>
    <t>Areva look &amp; feel, phase 2</t>
  </si>
  <si>
    <t>Areva look &amp; feel, phase 2 with graphical display: Chinese</t>
  </si>
  <si>
    <t>Greek</t>
  </si>
  <si>
    <t>48 - 150 Vdc (ac immune)</t>
  </si>
  <si>
    <t>48 - 250 Vdc / 48 - 250 Vac</t>
  </si>
  <si>
    <t>Major</t>
  </si>
  <si>
    <t>V10.</t>
  </si>
  <si>
    <t>Voltage relay</t>
  </si>
  <si>
    <t>Communication Interface</t>
  </si>
  <si>
    <t>110 Vdc - 30% / +20% (special application)</t>
  </si>
  <si>
    <t>220 Vdc - 30% / +20% (special application)</t>
  </si>
  <si>
    <t>Digital Input Voltage Phase I</t>
  </si>
  <si>
    <t>0</t>
  </si>
  <si>
    <t>24 - 250 Vdc / 24 - 240 Vac</t>
  </si>
  <si>
    <t>24 - 250 Vdc / 24 - 240Vac</t>
  </si>
  <si>
    <t>11</t>
  </si>
  <si>
    <t>14</t>
  </si>
  <si>
    <t>15</t>
  </si>
  <si>
    <t>Digital Input Voltage Table (driven by phase and auxiliary voltage)</t>
  </si>
  <si>
    <t>21</t>
  </si>
  <si>
    <t>22</t>
  </si>
  <si>
    <t>23</t>
  </si>
  <si>
    <t>24</t>
  </si>
  <si>
    <t>25</t>
  </si>
  <si>
    <t>31</t>
  </si>
  <si>
    <t>32</t>
  </si>
  <si>
    <t>33</t>
  </si>
  <si>
    <t>34</t>
  </si>
  <si>
    <t>35</t>
  </si>
  <si>
    <t>130 - 250Vdc / 110 - 250Vac</t>
  </si>
  <si>
    <t>125 - 250Vdc / 100 - 250Vac</t>
  </si>
  <si>
    <t>K-BUS / Courier</t>
  </si>
  <si>
    <t>IEC 60870-5-103</t>
  </si>
  <si>
    <t>Auxiliary voltage Table (driven by phase)</t>
  </si>
  <si>
    <t>Auxiliary Voltage - Phase 1</t>
  </si>
  <si>
    <t>Auxiliary Voltage - Phase 2</t>
  </si>
  <si>
    <t>48 - 250 Vdc (ac immune)</t>
  </si>
  <si>
    <t>HMI : P923xxSxxxxx</t>
  </si>
  <si>
    <t>Major : P923</t>
  </si>
  <si>
    <t>Minor: P923</t>
  </si>
  <si>
    <t>Chinese</t>
  </si>
  <si>
    <t>E</t>
  </si>
  <si>
    <t>A1</t>
  </si>
  <si>
    <t>F1</t>
  </si>
  <si>
    <t>H1</t>
  </si>
  <si>
    <t>M1</t>
  </si>
  <si>
    <t>T1</t>
  </si>
  <si>
    <t>U1</t>
  </si>
  <si>
    <t>V2</t>
  </si>
  <si>
    <t>W2</t>
  </si>
  <si>
    <t>Available only from PCW and PCV manufacturing unit</t>
  </si>
  <si>
    <t>V1</t>
  </si>
  <si>
    <t>W1</t>
  </si>
  <si>
    <t>Available only from PCW manufacturing unit</t>
  </si>
  <si>
    <t>Hungarian (not yet available)</t>
  </si>
  <si>
    <t>Greek (not yet available)</t>
  </si>
  <si>
    <t>Turkish (not yet available)</t>
  </si>
  <si>
    <t>Portuguese (not yet available)</t>
  </si>
  <si>
    <t>V6.?</t>
  </si>
  <si>
    <t>V6.G</t>
  </si>
  <si>
    <t>Software Version Phase I</t>
  </si>
  <si>
    <t>Latest software version</t>
  </si>
  <si>
    <t>Not applicable to Phase I</t>
  </si>
  <si>
    <t>G</t>
  </si>
  <si>
    <t>125 - 250 Vdc / 100 - 250 Vac</t>
  </si>
  <si>
    <t>130 - 250 Vdc / 110 - 250 Vac</t>
  </si>
  <si>
    <t>Courier</t>
  </si>
  <si>
    <t>IEC 60870</t>
  </si>
  <si>
    <t>Chinese : not available</t>
  </si>
  <si>
    <t>48 - 150 Vdc (UK ENA Approved + Screws)</t>
  </si>
  <si>
    <t>48 - 250 Vdc (UK ENA Approved + Screws)</t>
  </si>
  <si>
    <t>Turkish : not available</t>
  </si>
  <si>
    <t>Portuguese : not available</t>
  </si>
  <si>
    <t>Hungarian : not available</t>
  </si>
  <si>
    <t>Greek : not available</t>
  </si>
  <si>
    <t>Software Version - Phase 2</t>
  </si>
  <si>
    <t>I</t>
  </si>
  <si>
    <t>Mounting options</t>
  </si>
  <si>
    <t>Z</t>
  </si>
  <si>
    <t>MODBUS</t>
  </si>
  <si>
    <t>KBUS/COURIER</t>
  </si>
  <si>
    <t>DNP3</t>
  </si>
  <si>
    <t>KBUS / COURIER</t>
  </si>
  <si>
    <t>Digital Input Voltage Phase 2</t>
  </si>
  <si>
    <t>Mountng option</t>
  </si>
  <si>
    <t>Not applicable</t>
  </si>
  <si>
    <t>A2</t>
  </si>
  <si>
    <t>F2</t>
  </si>
  <si>
    <t>T2</t>
  </si>
  <si>
    <t>Z2</t>
  </si>
  <si>
    <t>H2</t>
  </si>
  <si>
    <t>A3</t>
  </si>
  <si>
    <t>F3</t>
  </si>
  <si>
    <t>T3</t>
  </si>
  <si>
    <t>Z3</t>
  </si>
  <si>
    <t>H3</t>
  </si>
  <si>
    <t>V3</t>
  </si>
  <si>
    <t>W3</t>
  </si>
  <si>
    <t>*1</t>
  </si>
  <si>
    <t>*2</t>
  </si>
  <si>
    <t>V6.H</t>
  </si>
  <si>
    <t>V11.</t>
  </si>
  <si>
    <t>24 - 250 Vdc / 48 - 240 Vac</t>
  </si>
  <si>
    <t>V12.</t>
  </si>
  <si>
    <t>Rationalised 11th May 2011</t>
  </si>
  <si>
    <t>LIVE</t>
  </si>
  <si>
    <t>HIDDEN</t>
  </si>
  <si>
    <t>SE look&amp;feel Phase 2</t>
  </si>
  <si>
    <r>
      <t xml:space="preserve">H </t>
    </r>
    <r>
      <rPr>
        <b/>
        <vertAlign val="superscript"/>
        <sz val="11"/>
        <color indexed="17"/>
        <rFont val="Arial"/>
        <family val="2"/>
      </rPr>
      <t>1)</t>
    </r>
  </si>
  <si>
    <t>MiCOM P923</t>
  </si>
  <si>
    <t>Cortec Landing cell :</t>
  </si>
  <si>
    <t>Configurator feedback :</t>
  </si>
  <si>
    <t>double digit in same row</t>
  </si>
  <si>
    <t>Cortec digit control 1</t>
  </si>
  <si>
    <t>P</t>
  </si>
  <si>
    <t>Cortec digit control 2</t>
  </si>
  <si>
    <t>Cortec digit control 3</t>
  </si>
  <si>
    <t>Cortec digit control 4</t>
  </si>
  <si>
    <t>$B$7</t>
  </si>
  <si>
    <t>$B$11</t>
  </si>
  <si>
    <t>$B$18</t>
  </si>
  <si>
    <t>$B$26</t>
  </si>
  <si>
    <t>$B$35</t>
  </si>
  <si>
    <t>$B$48</t>
  </si>
  <si>
    <t>$B$95</t>
  </si>
  <si>
    <t>Constant</t>
  </si>
  <si>
    <t>OBSOLETED 11.09.13</t>
  </si>
  <si>
    <t xml:space="preserve">P9230ASH112CC0 </t>
  </si>
  <si>
    <r>
      <t>3)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Недоступно при значениях Напряжения питания/Диапазона работы оптовходов, соответствующие коду T</t>
    </r>
  </si>
  <si>
    <r>
      <t>2)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Недоступно</t>
    </r>
  </si>
  <si>
    <r>
      <t>1)</t>
    </r>
    <r>
      <rPr>
        <sz val="10"/>
        <rFont val="Arial"/>
        <family val="2"/>
      </rPr>
      <t xml:space="preserve"> Недоступно с большим ЖК-экраном</t>
    </r>
  </si>
  <si>
    <t>ПРИМЕЧАНИЯ:</t>
  </si>
  <si>
    <t>Встроенный ЧМИ + герметичная крышка для защиты доступа к передней панели</t>
  </si>
  <si>
    <r>
      <t xml:space="preserve">Герметичная крышка для защиты доступа к передней панели </t>
    </r>
    <r>
      <rPr>
        <vertAlign val="superscript"/>
        <sz val="11"/>
        <rFont val="Arial"/>
        <family val="2"/>
      </rPr>
      <t>3)</t>
    </r>
  </si>
  <si>
    <t>Встроенный ЧМИ (несъемный)</t>
  </si>
  <si>
    <r>
      <t xml:space="preserve">Недоступно (по умолчанию) </t>
    </r>
    <r>
      <rPr>
        <vertAlign val="superscript"/>
        <sz val="11"/>
        <rFont val="Arial"/>
        <family val="2"/>
      </rPr>
      <t>3)</t>
    </r>
  </si>
  <si>
    <t>Тип монтажа:</t>
  </si>
  <si>
    <t>Последняя версия Вспомогательного  ПО:</t>
  </si>
  <si>
    <t>Последняя версия Основного ПО:</t>
  </si>
  <si>
    <t>SE look&amp;feel Phase 2 с большим ЖК-экраном</t>
  </si>
  <si>
    <t>Платформа:</t>
  </si>
  <si>
    <r>
      <t xml:space="preserve">Турецкий </t>
    </r>
    <r>
      <rPr>
        <vertAlign val="superscript"/>
        <sz val="11"/>
        <rFont val="Arial"/>
        <family val="2"/>
      </rPr>
      <t>2)</t>
    </r>
  </si>
  <si>
    <t>Китайский</t>
  </si>
  <si>
    <r>
      <t xml:space="preserve">Греческий </t>
    </r>
    <r>
      <rPr>
        <vertAlign val="superscript"/>
        <sz val="11"/>
        <rFont val="Arial"/>
        <family val="2"/>
      </rPr>
      <t>2)</t>
    </r>
  </si>
  <si>
    <r>
      <t xml:space="preserve">Венгерский </t>
    </r>
    <r>
      <rPr>
        <vertAlign val="superscript"/>
        <sz val="11"/>
        <rFont val="Arial"/>
        <family val="2"/>
      </rPr>
      <t>2)</t>
    </r>
  </si>
  <si>
    <t>Чешский</t>
  </si>
  <si>
    <t>Голландский</t>
  </si>
  <si>
    <t xml:space="preserve">Португальский </t>
  </si>
  <si>
    <t>Польский</t>
  </si>
  <si>
    <t>Русский</t>
  </si>
  <si>
    <t xml:space="preserve">Итальянский </t>
  </si>
  <si>
    <t>Немецкий</t>
  </si>
  <si>
    <t>Испанский</t>
  </si>
  <si>
    <t>Английский</t>
  </si>
  <si>
    <t>Французский</t>
  </si>
  <si>
    <t>Язык:</t>
  </si>
  <si>
    <t xml:space="preserve">Протокол связи: </t>
  </si>
  <si>
    <t xml:space="preserve">220 Vdc -30% / +20% (специальное применение) </t>
  </si>
  <si>
    <t xml:space="preserve">110 Vdc -30% / +20% (специальное применение) </t>
  </si>
  <si>
    <t>24 - 250 Vdc ( проверено UK ENA + зажимные винты)</t>
  </si>
  <si>
    <t>105 - 145 Vdc (специальное применение)</t>
  </si>
  <si>
    <t>Диапазон работы оптовходов:</t>
  </si>
  <si>
    <t>Напряжение питания:</t>
  </si>
  <si>
    <t>Стандартное</t>
  </si>
  <si>
    <t>Применение:</t>
  </si>
  <si>
    <t>Входное напряжение:</t>
  </si>
  <si>
    <t>Дифференциальная защита по напряжению/частоте</t>
  </si>
  <si>
    <t>Тип реле:</t>
  </si>
  <si>
    <t>MiCOM P923 - Реле напряжения                                                             P92</t>
  </si>
  <si>
    <t>Готовая к использованию конфигурация</t>
  </si>
  <si>
    <t>Форма заказа</t>
  </si>
  <si>
    <t>Напряжение питания / Диапазон работы оптовходов</t>
  </si>
  <si>
    <t>Версия программного обеспечения</t>
  </si>
  <si>
    <t>Версия программного обеспечения V12.C</t>
  </si>
  <si>
    <t>Версия программного обеспечения V11.B</t>
  </si>
  <si>
    <t>Версия программного обеспечения V10.H</t>
  </si>
  <si>
    <t>Недоступно (по умолчанию)</t>
  </si>
  <si>
    <t>Герметичная крышка для защиты доступа к передней панели</t>
  </si>
  <si>
    <t>Идентификационный код устройства в SAP</t>
  </si>
  <si>
    <t>Напряжение питания :</t>
  </si>
  <si>
    <t>Диапазон работы оптовходов :</t>
  </si>
  <si>
    <t>Версия программного обеспечения V12.D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</si>
</sst>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000"/>
    <numFmt numFmtId="189" formatCode="000"/>
    <numFmt numFmtId="190" formatCode="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_-* #,##0\ &quot;DM&quot;_-;\-* #,##0\ &quot;DM&quot;_-;_-* &quot;-&quot;\ &quot;DM&quot;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.00\ _D_M_-;\-* #,##0.00\ _D_M_-;_-* &quot;-&quot;??\ _D_M_-;_-@_-"/>
    <numFmt numFmtId="207" formatCode="#0,000"/>
    <numFmt numFmtId="208" formatCode="0.000"/>
    <numFmt numFmtId="209" formatCode="0.0"/>
    <numFmt numFmtId="210" formatCode=";;;"/>
    <numFmt numFmtId="211" formatCode="00.0"/>
    <numFmt numFmtId="212" formatCode="###############"/>
    <numFmt numFmtId="213" formatCode="000000000000000"/>
    <numFmt numFmtId="214" formatCode="00000"/>
    <numFmt numFmtId="215" formatCode="\'0000"/>
    <numFmt numFmtId="216" formatCode="mm/dd/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###"/>
    <numFmt numFmtId="222" formatCode="dd/mm/yy;@"/>
  </numFmts>
  <fonts count="7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50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11"/>
      <color indexed="9"/>
      <name val="SEOptimist"/>
      <family val="3"/>
    </font>
    <font>
      <sz val="14"/>
      <color indexed="9"/>
      <name val="SEOptimist"/>
      <family val="3"/>
    </font>
    <font>
      <b/>
      <sz val="11"/>
      <color indexed="17"/>
      <name val="Arial"/>
      <family val="2"/>
    </font>
    <font>
      <b/>
      <vertAlign val="superscript"/>
      <sz val="11"/>
      <color indexed="17"/>
      <name val="Arial"/>
      <family val="2"/>
    </font>
    <font>
      <vertAlign val="superscript"/>
      <sz val="11"/>
      <name val="Arial"/>
      <family val="2"/>
    </font>
    <font>
      <b/>
      <sz val="11"/>
      <color indexed="17"/>
      <name val="SEOptimist"/>
      <family val="3"/>
    </font>
    <font>
      <sz val="14"/>
      <color indexed="57"/>
      <name val="SEOptimist"/>
      <family val="3"/>
    </font>
    <font>
      <sz val="18"/>
      <name val="SEOptimistBlack"/>
      <family val="3"/>
    </font>
    <font>
      <sz val="10"/>
      <name val="SEOptimist"/>
      <family val="3"/>
    </font>
    <font>
      <sz val="14"/>
      <name val="SEOptimist"/>
      <family val="3"/>
    </font>
    <font>
      <sz val="14"/>
      <color indexed="17"/>
      <name val="SEOptimist"/>
      <family val="3"/>
    </font>
    <font>
      <sz val="6"/>
      <name val="Arial"/>
      <family val="2"/>
    </font>
    <font>
      <b/>
      <sz val="10"/>
      <color indexed="17"/>
      <name val="SEOptimist"/>
      <family val="3"/>
    </font>
    <font>
      <sz val="8"/>
      <name val="FuturaA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  <xf numFmtId="0" fontId="60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9" borderId="1" applyNumberFormat="0" applyAlignment="0" applyProtection="0"/>
    <xf numFmtId="0" fontId="62" fillId="17" borderId="2" applyNumberFormat="0" applyAlignment="0" applyProtection="0"/>
    <xf numFmtId="0" fontId="46" fillId="1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18" borderId="7" applyNumberFormat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7" borderId="0" applyNumberFormat="0" applyBorder="0" applyAlignment="0" applyProtection="0"/>
  </cellStyleXfs>
  <cellXfs count="37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 quotePrefix="1">
      <alignment horizontal="right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1" fontId="4" fillId="0" borderId="15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22" borderId="21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2" xfId="0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22" borderId="25" xfId="0" applyFill="1" applyBorder="1" applyAlignment="1" quotePrefix="1">
      <alignment/>
    </xf>
    <xf numFmtId="0" fontId="8" fillId="22" borderId="23" xfId="0" applyFont="1" applyFill="1" applyBorder="1" applyAlignment="1" quotePrefix="1">
      <alignment/>
    </xf>
    <xf numFmtId="0" fontId="8" fillId="0" borderId="25" xfId="0" applyFont="1" applyFill="1" applyBorder="1" applyAlignment="1">
      <alignment/>
    </xf>
    <xf numFmtId="0" fontId="0" fillId="22" borderId="26" xfId="0" applyFill="1" applyBorder="1" applyAlignment="1" applyProtection="1" quotePrefix="1">
      <alignment horizontal="center"/>
      <protection locked="0"/>
    </xf>
    <xf numFmtId="1" fontId="19" fillId="0" borderId="15" xfId="0" applyNumberFormat="1" applyFont="1" applyBorder="1" applyAlignment="1" quotePrefix="1">
      <alignment horizontal="center" vertical="center"/>
    </xf>
    <xf numFmtId="0" fontId="0" fillId="22" borderId="20" xfId="0" applyFill="1" applyBorder="1" applyAlignment="1">
      <alignment/>
    </xf>
    <xf numFmtId="0" fontId="0" fillId="22" borderId="16" xfId="0" applyFill="1" applyBorder="1" applyAlignment="1" quotePrefix="1">
      <alignment/>
    </xf>
    <xf numFmtId="0" fontId="0" fillId="22" borderId="23" xfId="0" applyFill="1" applyBorder="1" applyAlignment="1" quotePrefix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8" fillId="22" borderId="0" xfId="0" applyFont="1" applyFill="1" applyBorder="1" applyAlignment="1" quotePrefix="1">
      <alignment/>
    </xf>
    <xf numFmtId="0" fontId="8" fillId="0" borderId="12" xfId="0" applyFont="1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0" xfId="0" applyFill="1" applyBorder="1" applyAlignment="1">
      <alignment/>
    </xf>
    <xf numFmtId="0" fontId="8" fillId="22" borderId="0" xfId="0" applyFont="1" applyFill="1" applyBorder="1" applyAlignment="1">
      <alignment/>
    </xf>
    <xf numFmtId="0" fontId="0" fillId="22" borderId="0" xfId="0" applyFill="1" applyBorder="1" applyAlignment="1" quotePrefix="1">
      <alignment/>
    </xf>
    <xf numFmtId="0" fontId="0" fillId="22" borderId="0" xfId="0" applyFill="1" applyBorder="1" applyAlignment="1">
      <alignment horizontal="center"/>
    </xf>
    <xf numFmtId="0" fontId="18" fillId="22" borderId="0" xfId="0" applyFont="1" applyFill="1" applyBorder="1" applyAlignment="1">
      <alignment/>
    </xf>
    <xf numFmtId="0" fontId="10" fillId="22" borderId="20" xfId="0" applyFont="1" applyFill="1" applyBorder="1" applyAlignment="1" quotePrefix="1">
      <alignment horizontal="center"/>
    </xf>
    <xf numFmtId="0" fontId="10" fillId="22" borderId="26" xfId="0" applyFont="1" applyFill="1" applyBorder="1" applyAlignment="1" quotePrefix="1">
      <alignment horizontal="center"/>
    </xf>
    <xf numFmtId="0" fontId="8" fillId="22" borderId="0" xfId="0" applyFont="1" applyFill="1" applyBorder="1" applyAlignment="1">
      <alignment horizontal="center"/>
    </xf>
    <xf numFmtId="0" fontId="10" fillId="22" borderId="0" xfId="0" applyFont="1" applyFill="1" applyBorder="1" applyAlignment="1" quotePrefix="1">
      <alignment horizontal="center"/>
    </xf>
    <xf numFmtId="0" fontId="10" fillId="22" borderId="12" xfId="0" applyFont="1" applyFill="1" applyBorder="1" applyAlignment="1" quotePrefix="1">
      <alignment horizontal="center"/>
    </xf>
    <xf numFmtId="0" fontId="10" fillId="22" borderId="23" xfId="0" applyFont="1" applyFill="1" applyBorder="1" applyAlignment="1">
      <alignment/>
    </xf>
    <xf numFmtId="0" fontId="10" fillId="22" borderId="22" xfId="0" applyFont="1" applyFill="1" applyBorder="1" applyAlignment="1" quotePrefix="1">
      <alignment horizontal="center"/>
    </xf>
    <xf numFmtId="0" fontId="10" fillId="22" borderId="16" xfId="0" applyFont="1" applyFill="1" applyBorder="1" applyAlignment="1" quotePrefix="1">
      <alignment horizontal="center"/>
    </xf>
    <xf numFmtId="0" fontId="10" fillId="22" borderId="23" xfId="0" applyFont="1" applyFill="1" applyBorder="1" applyAlignment="1" quotePrefix="1">
      <alignment horizontal="center"/>
    </xf>
    <xf numFmtId="0" fontId="10" fillId="22" borderId="24" xfId="0" applyFont="1" applyFill="1" applyBorder="1" applyAlignment="1" quotePrefix="1">
      <alignment horizontal="center"/>
    </xf>
    <xf numFmtId="0" fontId="10" fillId="22" borderId="0" xfId="0" applyFont="1" applyFill="1" applyBorder="1" applyAlignment="1">
      <alignment/>
    </xf>
    <xf numFmtId="0" fontId="10" fillId="22" borderId="0" xfId="0" applyFont="1" applyFill="1" applyBorder="1" applyAlignment="1" quotePrefix="1">
      <alignment/>
    </xf>
    <xf numFmtId="0" fontId="20" fillId="22" borderId="27" xfId="0" applyFont="1" applyFill="1" applyBorder="1" applyAlignment="1" applyProtection="1" quotePrefix="1">
      <alignment horizontal="center"/>
      <protection locked="0"/>
    </xf>
    <xf numFmtId="0" fontId="20" fillId="0" borderId="27" xfId="0" applyFont="1" applyFill="1" applyBorder="1" applyAlignment="1" applyProtection="1" quotePrefix="1">
      <alignment horizontal="center"/>
      <protection locked="0"/>
    </xf>
    <xf numFmtId="14" fontId="9" fillId="0" borderId="27" xfId="0" applyNumberFormat="1" applyFont="1" applyFill="1" applyBorder="1" applyAlignment="1">
      <alignment horizontal="center"/>
    </xf>
    <xf numFmtId="0" fontId="0" fillId="22" borderId="0" xfId="0" applyFill="1" applyBorder="1" applyAlignment="1" applyProtection="1" quotePrefix="1">
      <alignment horizontal="center"/>
      <protection locked="0"/>
    </xf>
    <xf numFmtId="0" fontId="11" fillId="0" borderId="2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1" fillId="0" borderId="10" xfId="0" applyFont="1" applyFill="1" applyBorder="1" applyAlignment="1" applyProtection="1" quotePrefix="1">
      <alignment horizontal="center"/>
      <protection locked="0"/>
    </xf>
    <xf numFmtId="0" fontId="9" fillId="0" borderId="10" xfId="0" applyFont="1" applyFill="1" applyBorder="1" applyAlignment="1" applyProtection="1" quotePrefix="1">
      <alignment horizontal="center"/>
      <protection locked="0"/>
    </xf>
    <xf numFmtId="0" fontId="18" fillId="22" borderId="17" xfId="0" applyFont="1" applyFill="1" applyBorder="1" applyAlignment="1">
      <alignment horizontal="left"/>
    </xf>
    <xf numFmtId="0" fontId="0" fillId="22" borderId="25" xfId="0" applyFill="1" applyBorder="1" applyAlignment="1">
      <alignment/>
    </xf>
    <xf numFmtId="0" fontId="0" fillId="22" borderId="28" xfId="0" applyFill="1" applyBorder="1" applyAlignment="1">
      <alignment/>
    </xf>
    <xf numFmtId="1" fontId="0" fillId="0" borderId="27" xfId="0" applyNumberForma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17" xfId="0" applyFill="1" applyBorder="1" applyAlignment="1" quotePrefix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0" fontId="0" fillId="22" borderId="28" xfId="0" applyFill="1" applyBorder="1" applyAlignment="1" quotePrefix="1">
      <alignment/>
    </xf>
    <xf numFmtId="0" fontId="8" fillId="22" borderId="24" xfId="0" applyFont="1" applyFill="1" applyBorder="1" applyAlignment="1" quotePrefix="1">
      <alignment/>
    </xf>
    <xf numFmtId="0" fontId="8" fillId="22" borderId="27" xfId="0" applyFont="1" applyFill="1" applyBorder="1" applyAlignment="1" quotePrefix="1">
      <alignment/>
    </xf>
    <xf numFmtId="0" fontId="8" fillId="0" borderId="27" xfId="0" applyFont="1" applyFill="1" applyBorder="1" applyAlignment="1">
      <alignment horizontal="center"/>
    </xf>
    <xf numFmtId="0" fontId="10" fillId="22" borderId="27" xfId="0" applyFont="1" applyFill="1" applyBorder="1" applyAlignment="1" quotePrefix="1">
      <alignment horizontal="center"/>
    </xf>
    <xf numFmtId="0" fontId="7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1" xfId="0" applyFill="1" applyBorder="1" applyAlignment="1" quotePrefix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16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20" fillId="0" borderId="27" xfId="0" applyNumberFormat="1" applyFont="1" applyBorder="1" applyAlignment="1">
      <alignment horizontal="center"/>
    </xf>
    <xf numFmtId="14" fontId="21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 wrapText="1"/>
    </xf>
    <xf numFmtId="0" fontId="0" fillId="0" borderId="29" xfId="0" applyFont="1" applyBorder="1" applyAlignment="1">
      <alignment horizontal="center" wrapText="1"/>
    </xf>
    <xf numFmtId="14" fontId="0" fillId="0" borderId="29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22" borderId="29" xfId="0" applyFont="1" applyFill="1" applyBorder="1" applyAlignment="1" quotePrefix="1">
      <alignment horizontal="left" wrapText="1"/>
    </xf>
    <xf numFmtId="14" fontId="0" fillId="0" borderId="29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22" borderId="10" xfId="0" applyFont="1" applyFill="1" applyBorder="1" applyAlignment="1" quotePrefix="1">
      <alignment horizontal="center"/>
    </xf>
    <xf numFmtId="0" fontId="0" fillId="22" borderId="11" xfId="0" applyFont="1" applyFill="1" applyBorder="1" applyAlignment="1" quotePrefix="1">
      <alignment horizontal="center"/>
    </xf>
    <xf numFmtId="0" fontId="0" fillId="22" borderId="29" xfId="0" applyFont="1" applyFill="1" applyBorder="1" applyAlignment="1" quotePrefix="1">
      <alignment horizontal="center"/>
    </xf>
    <xf numFmtId="0" fontId="0" fillId="22" borderId="21" xfId="0" applyFont="1" applyFill="1" applyBorder="1" applyAlignment="1" quotePrefix="1">
      <alignment horizontal="center"/>
    </xf>
    <xf numFmtId="0" fontId="0" fillId="22" borderId="22" xfId="0" applyFont="1" applyFill="1" applyBorder="1" applyAlignment="1" quotePrefix="1">
      <alignment horizontal="center"/>
    </xf>
    <xf numFmtId="0" fontId="0" fillId="22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22" borderId="11" xfId="0" applyFont="1" applyFill="1" applyBorder="1" applyAlignment="1" quotePrefix="1">
      <alignment horizontal="left" wrapText="1"/>
    </xf>
    <xf numFmtId="14" fontId="0" fillId="22" borderId="29" xfId="0" applyNumberFormat="1" applyFont="1" applyFill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11" fillId="22" borderId="27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20" fillId="0" borderId="27" xfId="0" applyNumberFormat="1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22" borderId="26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2" borderId="12" xfId="0" applyFont="1" applyFill="1" applyBorder="1" applyAlignment="1" quotePrefix="1">
      <alignment/>
    </xf>
    <xf numFmtId="0" fontId="11" fillId="0" borderId="12" xfId="0" applyFont="1" applyFill="1" applyBorder="1" applyAlignment="1" quotePrefix="1">
      <alignment/>
    </xf>
    <xf numFmtId="0" fontId="11" fillId="0" borderId="12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/>
    </xf>
    <xf numFmtId="0" fontId="0" fillId="22" borderId="24" xfId="0" applyFont="1" applyFill="1" applyBorder="1" applyAlignment="1">
      <alignment/>
    </xf>
    <xf numFmtId="1" fontId="20" fillId="0" borderId="10" xfId="0" applyNumberFormat="1" applyFont="1" applyFill="1" applyBorder="1" applyAlignment="1" applyProtection="1" quotePrefix="1">
      <alignment horizontal="center"/>
      <protection locked="0"/>
    </xf>
    <xf numFmtId="0" fontId="0" fillId="0" borderId="2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1" fillId="0" borderId="29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center"/>
    </xf>
    <xf numFmtId="0" fontId="19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left" vertical="center"/>
    </xf>
    <xf numFmtId="1" fontId="19" fillId="0" borderId="25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 quotePrefix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4" borderId="0" xfId="0" applyFill="1" applyBorder="1" applyAlignment="1">
      <alignment/>
    </xf>
    <xf numFmtId="0" fontId="14" fillId="0" borderId="0" xfId="42" applyFont="1" applyBorder="1">
      <alignment/>
      <protection/>
    </xf>
    <xf numFmtId="0" fontId="0" fillId="0" borderId="0" xfId="42" applyFont="1" applyBorder="1">
      <alignment/>
      <protection/>
    </xf>
    <xf numFmtId="0" fontId="11" fillId="0" borderId="0" xfId="42" applyFont="1" applyBorder="1" applyAlignment="1">
      <alignment horizontal="left" wrapText="1"/>
      <protection/>
    </xf>
    <xf numFmtId="0" fontId="0" fillId="0" borderId="0" xfId="42" applyFont="1" applyBorder="1" applyAlignment="1">
      <alignment vertical="center"/>
      <protection/>
    </xf>
    <xf numFmtId="0" fontId="24" fillId="0" borderId="0" xfId="42" applyFont="1" applyBorder="1">
      <alignment/>
      <protection/>
    </xf>
    <xf numFmtId="0" fontId="21" fillId="0" borderId="0" xfId="0" applyFont="1" applyFill="1" applyBorder="1" applyAlignment="1">
      <alignment horizontal="left"/>
    </xf>
    <xf numFmtId="0" fontId="21" fillId="0" borderId="0" xfId="42" applyFont="1" applyBorder="1">
      <alignment/>
      <protection/>
    </xf>
    <xf numFmtId="1" fontId="23" fillId="0" borderId="15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 quotePrefix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5" fillId="17" borderId="3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22" fillId="17" borderId="34" xfId="0" applyFont="1" applyFill="1" applyBorder="1" applyAlignment="1">
      <alignment/>
    </xf>
    <xf numFmtId="188" fontId="17" fillId="22" borderId="22" xfId="0" applyNumberFormat="1" applyFont="1" applyFill="1" applyBorder="1" applyAlignment="1">
      <alignment horizontal="center" vertical="center"/>
    </xf>
    <xf numFmtId="188" fontId="17" fillId="22" borderId="0" xfId="0" applyNumberFormat="1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/>
    </xf>
    <xf numFmtId="188" fontId="6" fillId="22" borderId="12" xfId="0" applyNumberFormat="1" applyFont="1" applyFill="1" applyBorder="1" applyAlignment="1">
      <alignment horizontal="center" vertical="center"/>
    </xf>
    <xf numFmtId="1" fontId="4" fillId="22" borderId="16" xfId="0" applyNumberFormat="1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/>
    </xf>
    <xf numFmtId="0" fontId="4" fillId="22" borderId="24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7" fillId="22" borderId="12" xfId="0" applyFont="1" applyFill="1" applyBorder="1" applyAlignment="1">
      <alignment/>
    </xf>
    <xf numFmtId="0" fontId="7" fillId="22" borderId="24" xfId="0" applyFont="1" applyFill="1" applyBorder="1" applyAlignment="1">
      <alignment/>
    </xf>
    <xf numFmtId="0" fontId="25" fillId="22" borderId="22" xfId="0" applyFont="1" applyFill="1" applyBorder="1" applyAlignment="1">
      <alignment/>
    </xf>
    <xf numFmtId="0" fontId="7" fillId="22" borderId="0" xfId="0" applyFont="1" applyFill="1" applyBorder="1" applyAlignment="1">
      <alignment/>
    </xf>
    <xf numFmtId="1" fontId="6" fillId="22" borderId="16" xfId="0" applyNumberFormat="1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/>
    </xf>
    <xf numFmtId="0" fontId="7" fillId="22" borderId="35" xfId="0" applyFont="1" applyFill="1" applyBorder="1" applyAlignment="1">
      <alignment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 quotePrefix="1">
      <alignment horizontal="center" vertical="center"/>
    </xf>
    <xf numFmtId="0" fontId="6" fillId="22" borderId="24" xfId="0" applyFont="1" applyFill="1" applyBorder="1" applyAlignment="1" quotePrefix="1">
      <alignment horizontal="center" vertical="center"/>
    </xf>
    <xf numFmtId="0" fontId="23" fillId="22" borderId="16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/>
    </xf>
    <xf numFmtId="0" fontId="6" fillId="22" borderId="0" xfId="0" applyFont="1" applyFill="1" applyBorder="1" applyAlignment="1" quotePrefix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6" fillId="22" borderId="23" xfId="0" applyFont="1" applyFill="1" applyBorder="1" applyAlignment="1" quotePrefix="1">
      <alignment horizontal="center" vertical="center"/>
    </xf>
    <xf numFmtId="0" fontId="7" fillId="22" borderId="36" xfId="0" applyFont="1" applyFill="1" applyBorder="1" applyAlignment="1">
      <alignment/>
    </xf>
    <xf numFmtId="0" fontId="7" fillId="22" borderId="11" xfId="0" applyFont="1" applyFill="1" applyBorder="1" applyAlignment="1">
      <alignment/>
    </xf>
    <xf numFmtId="0" fontId="6" fillId="22" borderId="11" xfId="0" applyFont="1" applyFill="1" applyBorder="1" applyAlignment="1" quotePrefix="1">
      <alignment horizontal="center" vertical="center"/>
    </xf>
    <xf numFmtId="0" fontId="6" fillId="22" borderId="24" xfId="0" applyFont="1" applyFill="1" applyBorder="1" applyAlignment="1">
      <alignment horizontal="center"/>
    </xf>
    <xf numFmtId="0" fontId="23" fillId="22" borderId="0" xfId="0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6" fillId="22" borderId="23" xfId="0" applyFont="1" applyFill="1" applyBorder="1" applyAlignment="1">
      <alignment horizontal="center"/>
    </xf>
    <xf numFmtId="0" fontId="4" fillId="25" borderId="11" xfId="0" applyFont="1" applyFill="1" applyBorder="1" applyAlignment="1" quotePrefix="1">
      <alignment horizontal="center"/>
    </xf>
    <xf numFmtId="0" fontId="7" fillId="25" borderId="11" xfId="0" applyFont="1" applyFill="1" applyBorder="1" applyAlignment="1">
      <alignment/>
    </xf>
    <xf numFmtId="1" fontId="9" fillId="25" borderId="12" xfId="0" applyNumberFormat="1" applyFont="1" applyFill="1" applyBorder="1" applyAlignment="1">
      <alignment vertical="center" wrapText="1"/>
    </xf>
    <xf numFmtId="1" fontId="9" fillId="25" borderId="24" xfId="0" applyNumberFormat="1" applyFont="1" applyFill="1" applyBorder="1" applyAlignment="1">
      <alignment vertical="center" wrapText="1"/>
    </xf>
    <xf numFmtId="0" fontId="23" fillId="25" borderId="21" xfId="0" applyFont="1" applyFill="1" applyBorder="1" applyAlignment="1">
      <alignment horizontal="center"/>
    </xf>
    <xf numFmtId="1" fontId="9" fillId="25" borderId="0" xfId="0" applyNumberFormat="1" applyFont="1" applyFill="1" applyBorder="1" applyAlignment="1">
      <alignment vertical="center" wrapText="1"/>
    </xf>
    <xf numFmtId="1" fontId="9" fillId="25" borderId="23" xfId="0" applyNumberFormat="1" applyFont="1" applyFill="1" applyBorder="1" applyAlignment="1">
      <alignment vertical="center" wrapText="1"/>
    </xf>
    <xf numFmtId="0" fontId="7" fillId="25" borderId="35" xfId="0" applyFont="1" applyFill="1" applyBorder="1" applyAlignment="1">
      <alignment/>
    </xf>
    <xf numFmtId="0" fontId="6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/>
    </xf>
    <xf numFmtId="0" fontId="6" fillId="25" borderId="24" xfId="0" applyFont="1" applyFill="1" applyBorder="1" applyAlignment="1">
      <alignment horizontal="center"/>
    </xf>
    <xf numFmtId="1" fontId="23" fillId="25" borderId="22" xfId="0" applyNumberFormat="1" applyFont="1" applyFill="1" applyBorder="1" applyAlignment="1">
      <alignment horizontal="center" vertical="center"/>
    </xf>
    <xf numFmtId="1" fontId="4" fillId="25" borderId="0" xfId="0" applyNumberFormat="1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4" fillId="25" borderId="0" xfId="0" applyFont="1" applyFill="1" applyBorder="1" applyAlignment="1" quotePrefix="1">
      <alignment horizontal="center"/>
    </xf>
    <xf numFmtId="1" fontId="6" fillId="25" borderId="16" xfId="0" applyNumberFormat="1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/>
    </xf>
    <xf numFmtId="0" fontId="4" fillId="25" borderId="23" xfId="0" applyFont="1" applyFill="1" applyBorder="1" applyAlignment="1" quotePrefix="1">
      <alignment horizontal="center"/>
    </xf>
    <xf numFmtId="0" fontId="7" fillId="25" borderId="37" xfId="0" applyFont="1" applyFill="1" applyBorder="1" applyAlignment="1">
      <alignment/>
    </xf>
    <xf numFmtId="0" fontId="6" fillId="25" borderId="22" xfId="0" applyFont="1" applyFill="1" applyBorder="1" applyAlignment="1">
      <alignment horizontal="center"/>
    </xf>
    <xf numFmtId="0" fontId="7" fillId="25" borderId="22" xfId="0" applyFont="1" applyFill="1" applyBorder="1" applyAlignment="1">
      <alignment/>
    </xf>
    <xf numFmtId="0" fontId="6" fillId="25" borderId="22" xfId="0" applyFont="1" applyFill="1" applyBorder="1" applyAlignment="1" quotePrefix="1">
      <alignment horizontal="center" vertical="center"/>
    </xf>
    <xf numFmtId="0" fontId="6" fillId="25" borderId="12" xfId="0" applyFont="1" applyFill="1" applyBorder="1" applyAlignment="1" quotePrefix="1">
      <alignment horizontal="center" vertical="center"/>
    </xf>
    <xf numFmtId="0" fontId="6" fillId="25" borderId="0" xfId="0" applyFont="1" applyFill="1" applyBorder="1" applyAlignment="1" quotePrefix="1">
      <alignment horizontal="center" vertical="center"/>
    </xf>
    <xf numFmtId="1" fontId="23" fillId="25" borderId="17" xfId="0" applyNumberFormat="1" applyFont="1" applyFill="1" applyBorder="1" applyAlignment="1">
      <alignment horizontal="center" vertical="center"/>
    </xf>
    <xf numFmtId="1" fontId="6" fillId="25" borderId="20" xfId="0" applyNumberFormat="1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/>
    </xf>
    <xf numFmtId="0" fontId="4" fillId="25" borderId="20" xfId="0" applyFont="1" applyFill="1" applyBorder="1" applyAlignment="1" quotePrefix="1">
      <alignment horizontal="center"/>
    </xf>
    <xf numFmtId="1" fontId="9" fillId="25" borderId="16" xfId="0" applyNumberFormat="1" applyFont="1" applyFill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1" fillId="17" borderId="0" xfId="0" applyFont="1" applyFill="1" applyBorder="1" applyAlignment="1">
      <alignment/>
    </xf>
    <xf numFmtId="0" fontId="4" fillId="17" borderId="0" xfId="0" applyFont="1" applyFill="1" applyBorder="1" applyAlignment="1">
      <alignment/>
    </xf>
    <xf numFmtId="49" fontId="38" fillId="0" borderId="0" xfId="0" applyNumberFormat="1" applyFont="1" applyBorder="1" applyAlignment="1">
      <alignment vertical="top"/>
    </xf>
    <xf numFmtId="0" fontId="20" fillId="23" borderId="27" xfId="0" applyFont="1" applyFill="1" applyBorder="1" applyAlignment="1" applyProtection="1" quotePrefix="1">
      <alignment horizontal="center"/>
      <protection locked="0"/>
    </xf>
    <xf numFmtId="1" fontId="20" fillId="23" borderId="10" xfId="0" applyNumberFormat="1" applyFont="1" applyFill="1" applyBorder="1" applyAlignment="1" applyProtection="1" quotePrefix="1">
      <alignment horizontal="center"/>
      <protection locked="0"/>
    </xf>
    <xf numFmtId="0" fontId="39" fillId="22" borderId="0" xfId="33" applyFont="1" applyFill="1">
      <alignment/>
      <protection/>
    </xf>
    <xf numFmtId="0" fontId="39" fillId="22" borderId="0" xfId="33" applyFont="1" applyFill="1" applyBorder="1" applyAlignment="1">
      <alignment horizontal="center"/>
      <protection/>
    </xf>
    <xf numFmtId="0" fontId="39" fillId="22" borderId="0" xfId="33" applyFont="1" applyFill="1" applyAlignment="1">
      <alignment horizontal="center"/>
      <protection/>
    </xf>
    <xf numFmtId="0" fontId="7" fillId="0" borderId="0" xfId="33">
      <alignment/>
      <protection/>
    </xf>
    <xf numFmtId="0" fontId="7" fillId="9" borderId="0" xfId="33" applyFill="1">
      <alignment/>
      <protection/>
    </xf>
    <xf numFmtId="0" fontId="7" fillId="26" borderId="0" xfId="33" applyFill="1" applyBorder="1" applyAlignment="1">
      <alignment horizontal="center"/>
      <protection/>
    </xf>
    <xf numFmtId="0" fontId="7" fillId="9" borderId="0" xfId="33" applyFill="1" applyAlignment="1">
      <alignment horizontal="center"/>
      <protection/>
    </xf>
    <xf numFmtId="0" fontId="7" fillId="22" borderId="0" xfId="33" applyFill="1">
      <alignment/>
      <protection/>
    </xf>
    <xf numFmtId="0" fontId="7" fillId="16" borderId="38" xfId="33" applyFill="1" applyBorder="1" applyAlignment="1">
      <alignment horizontal="center"/>
      <protection/>
    </xf>
    <xf numFmtId="0" fontId="7" fillId="22" borderId="0" xfId="33" applyFill="1" applyAlignment="1">
      <alignment horizontal="center"/>
      <protection/>
    </xf>
    <xf numFmtId="0" fontId="7" fillId="0" borderId="0" xfId="33" applyBorder="1">
      <alignment/>
      <protection/>
    </xf>
    <xf numFmtId="0" fontId="7" fillId="0" borderId="0" xfId="33" applyAlignment="1">
      <alignment horizontal="center"/>
      <protection/>
    </xf>
    <xf numFmtId="0" fontId="7" fillId="22" borderId="0" xfId="33" applyFill="1" applyBorder="1" applyAlignment="1">
      <alignment horizontal="center"/>
      <protection/>
    </xf>
    <xf numFmtId="0" fontId="8" fillId="23" borderId="0" xfId="33" applyFont="1" applyFill="1" applyBorder="1" applyAlignment="1" applyProtection="1">
      <alignment horizontal="center"/>
      <protection locked="0"/>
    </xf>
    <xf numFmtId="0" fontId="8" fillId="23" borderId="20" xfId="33" applyFont="1" applyFill="1" applyBorder="1" applyAlignment="1" applyProtection="1">
      <alignment horizontal="center"/>
      <protection locked="0"/>
    </xf>
    <xf numFmtId="0" fontId="7" fillId="0" borderId="0" xfId="33" applyBorder="1" applyAlignment="1">
      <alignment horizontal="center"/>
      <protection/>
    </xf>
    <xf numFmtId="0" fontId="7" fillId="0" borderId="0" xfId="33" quotePrefix="1">
      <alignment/>
      <protection/>
    </xf>
    <xf numFmtId="0" fontId="7" fillId="0" borderId="2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7" fillId="0" borderId="2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23" xfId="0" applyFont="1" applyFill="1" applyBorder="1" applyAlignment="1">
      <alignment/>
    </xf>
    <xf numFmtId="0" fontId="69" fillId="0" borderId="23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39">
      <alignment/>
      <protection/>
    </xf>
    <xf numFmtId="0" fontId="0" fillId="0" borderId="0" xfId="39" applyBorder="1">
      <alignment/>
      <protection/>
    </xf>
    <xf numFmtId="0" fontId="0" fillId="0" borderId="0" xfId="39" applyFill="1" applyBorder="1">
      <alignment/>
      <protection/>
    </xf>
    <xf numFmtId="0" fontId="0" fillId="0" borderId="0" xfId="39" applyFill="1" applyBorder="1" applyAlignment="1">
      <alignment horizontal="center"/>
      <protection/>
    </xf>
    <xf numFmtId="0" fontId="32" fillId="0" borderId="0" xfId="39" applyFont="1" applyFill="1" applyBorder="1">
      <alignment/>
      <protection/>
    </xf>
    <xf numFmtId="0" fontId="30" fillId="0" borderId="0" xfId="39" applyFont="1" applyFill="1" applyBorder="1">
      <alignment/>
      <protection/>
    </xf>
    <xf numFmtId="0" fontId="30" fillId="0" borderId="0" xfId="39" applyFont="1" applyFill="1" applyBorder="1" applyAlignment="1">
      <alignment horizontal="center"/>
      <protection/>
    </xf>
    <xf numFmtId="0" fontId="33" fillId="0" borderId="0" xfId="39" applyFont="1" applyFill="1" applyBorder="1">
      <alignment/>
      <protection/>
    </xf>
    <xf numFmtId="0" fontId="30" fillId="0" borderId="25" xfId="39" applyFont="1" applyFill="1" applyBorder="1" applyAlignment="1">
      <alignment horizontal="center"/>
      <protection/>
    </xf>
    <xf numFmtId="0" fontId="0" fillId="0" borderId="25" xfId="39" applyFill="1" applyBorder="1">
      <alignment/>
      <protection/>
    </xf>
    <xf numFmtId="0" fontId="30" fillId="0" borderId="25" xfId="39" applyFont="1" applyFill="1" applyBorder="1">
      <alignment/>
      <protection/>
    </xf>
    <xf numFmtId="0" fontId="0" fillId="0" borderId="25" xfId="39" applyFont="1" applyFill="1" applyBorder="1">
      <alignment/>
      <protection/>
    </xf>
    <xf numFmtId="0" fontId="30" fillId="0" borderId="23" xfId="39" applyFont="1" applyFill="1" applyBorder="1" applyAlignment="1">
      <alignment horizontal="center"/>
      <protection/>
    </xf>
    <xf numFmtId="0" fontId="30" fillId="0" borderId="23" xfId="39" applyFont="1" applyFill="1" applyBorder="1">
      <alignment/>
      <protection/>
    </xf>
    <xf numFmtId="0" fontId="0" fillId="0" borderId="23" xfId="39" applyFill="1" applyBorder="1">
      <alignment/>
      <protection/>
    </xf>
    <xf numFmtId="0" fontId="0" fillId="0" borderId="23" xfId="39" applyFont="1" applyFill="1" applyBorder="1">
      <alignment/>
      <protection/>
    </xf>
    <xf numFmtId="0" fontId="30" fillId="22" borderId="0" xfId="39" applyFont="1" applyFill="1" applyBorder="1">
      <alignment/>
      <protection/>
    </xf>
    <xf numFmtId="0" fontId="33" fillId="0" borderId="0" xfId="39" applyFont="1" applyFill="1" applyBorder="1" applyAlignment="1">
      <alignment horizontal="left" wrapText="1"/>
      <protection/>
    </xf>
    <xf numFmtId="0" fontId="7" fillId="0" borderId="23" xfId="34" applyFont="1" applyFill="1" applyBorder="1" applyAlignment="1">
      <alignment horizontal="left" wrapText="1"/>
      <protection/>
    </xf>
    <xf numFmtId="0" fontId="30" fillId="25" borderId="0" xfId="39" applyFont="1" applyFill="1" applyBorder="1">
      <alignment/>
      <protection/>
    </xf>
    <xf numFmtId="0" fontId="30" fillId="0" borderId="0" xfId="39" applyFont="1" applyBorder="1">
      <alignment/>
      <protection/>
    </xf>
    <xf numFmtId="0" fontId="40" fillId="0" borderId="0" xfId="34" applyFont="1" applyFill="1" applyBorder="1" applyAlignment="1">
      <alignment horizontal="left" wrapText="1"/>
      <protection/>
    </xf>
    <xf numFmtId="0" fontId="26" fillId="22" borderId="0" xfId="39" applyFont="1" applyFill="1" applyBorder="1" applyAlignment="1">
      <alignment horizontal="center"/>
      <protection/>
    </xf>
    <xf numFmtId="0" fontId="26" fillId="0" borderId="25" xfId="39" applyFont="1" applyFill="1" applyBorder="1" applyAlignment="1">
      <alignment horizontal="center"/>
      <protection/>
    </xf>
    <xf numFmtId="0" fontId="26" fillId="0" borderId="23" xfId="39" applyFont="1" applyFill="1" applyBorder="1" applyAlignment="1">
      <alignment horizontal="center"/>
      <protection/>
    </xf>
    <xf numFmtId="0" fontId="0" fillId="0" borderId="23" xfId="39" applyFont="1" applyFill="1" applyBorder="1" applyAlignment="1">
      <alignment horizontal="left" wrapText="1"/>
      <protection/>
    </xf>
    <xf numFmtId="0" fontId="26" fillId="25" borderId="0" xfId="39" applyFont="1" applyFill="1" applyBorder="1" applyAlignment="1">
      <alignment horizontal="center"/>
      <protection/>
    </xf>
    <xf numFmtId="0" fontId="30" fillId="22" borderId="0" xfId="39" applyFont="1" applyFill="1" applyBorder="1" applyAlignment="1">
      <alignment horizontal="center"/>
      <protection/>
    </xf>
    <xf numFmtId="0" fontId="30" fillId="25" borderId="0" xfId="39" applyFont="1" applyFill="1" applyBorder="1" applyAlignment="1">
      <alignment horizontal="center"/>
      <protection/>
    </xf>
    <xf numFmtId="0" fontId="0" fillId="0" borderId="23" xfId="39" applyFill="1" applyBorder="1" applyAlignment="1">
      <alignment horizontal="left"/>
      <protection/>
    </xf>
    <xf numFmtId="188" fontId="30" fillId="0" borderId="23" xfId="39" applyNumberFormat="1" applyFont="1" applyFill="1" applyBorder="1" applyAlignment="1" quotePrefix="1">
      <alignment horizontal="center"/>
      <protection/>
    </xf>
    <xf numFmtId="0" fontId="0" fillId="0" borderId="23" xfId="39" applyFill="1" applyBorder="1" applyAlignment="1">
      <alignment horizontal="centerContinuous"/>
      <protection/>
    </xf>
    <xf numFmtId="0" fontId="33" fillId="0" borderId="0" xfId="34" applyFont="1" applyFill="1" applyBorder="1" applyAlignment="1">
      <alignment horizontal="left" wrapText="1"/>
      <protection/>
    </xf>
    <xf numFmtId="0" fontId="30" fillId="25" borderId="0" xfId="39" applyFont="1" applyFill="1" applyBorder="1" applyAlignment="1">
      <alignment horizontal="left"/>
      <protection/>
    </xf>
    <xf numFmtId="0" fontId="30" fillId="0" borderId="25" xfId="39" applyFont="1" applyFill="1" applyBorder="1" applyAlignment="1">
      <alignment horizontal="left"/>
      <protection/>
    </xf>
    <xf numFmtId="0" fontId="0" fillId="0" borderId="25" xfId="39" applyFill="1" applyBorder="1" applyAlignment="1">
      <alignment horizontal="left" wrapText="1"/>
      <protection/>
    </xf>
    <xf numFmtId="0" fontId="0" fillId="0" borderId="25" xfId="39" applyFont="1" applyFill="1" applyBorder="1" applyAlignment="1">
      <alignment horizontal="left" wrapText="1"/>
      <protection/>
    </xf>
    <xf numFmtId="0" fontId="0" fillId="0" borderId="25" xfId="39" applyFill="1" applyBorder="1" applyAlignment="1">
      <alignment horizontal="left" vertical="center" wrapText="1"/>
      <protection/>
    </xf>
    <xf numFmtId="0" fontId="26" fillId="25" borderId="0" xfId="39" applyFont="1" applyFill="1" applyBorder="1" applyAlignment="1">
      <alignment horizontal="left" vertical="center"/>
      <protection/>
    </xf>
    <xf numFmtId="0" fontId="26" fillId="0" borderId="25" xfId="39" applyFont="1" applyFill="1" applyBorder="1" applyAlignment="1">
      <alignment horizontal="left" vertical="center"/>
      <protection/>
    </xf>
    <xf numFmtId="0" fontId="30" fillId="0" borderId="23" xfId="39" applyFont="1" applyFill="1" applyBorder="1" applyAlignment="1">
      <alignment horizontal="left"/>
      <protection/>
    </xf>
    <xf numFmtId="0" fontId="0" fillId="0" borderId="23" xfId="39" applyFill="1" applyBorder="1" applyAlignment="1">
      <alignment horizontal="left" wrapText="1"/>
      <protection/>
    </xf>
    <xf numFmtId="0" fontId="0" fillId="0" borderId="23" xfId="43" applyFont="1" applyBorder="1">
      <alignment/>
      <protection/>
    </xf>
    <xf numFmtId="0" fontId="0" fillId="22" borderId="0" xfId="39" applyFill="1" applyBorder="1">
      <alignment/>
      <protection/>
    </xf>
    <xf numFmtId="0" fontId="0" fillId="25" borderId="0" xfId="39" applyFill="1" applyBorder="1">
      <alignment/>
      <protection/>
    </xf>
    <xf numFmtId="0" fontId="0" fillId="22" borderId="0" xfId="39" applyFill="1" applyBorder="1" applyAlignment="1">
      <alignment horizontal="center"/>
      <protection/>
    </xf>
    <xf numFmtId="0" fontId="0" fillId="25" borderId="0" xfId="39" applyFill="1" applyBorder="1" applyAlignment="1">
      <alignment horizontal="center"/>
      <protection/>
    </xf>
    <xf numFmtId="0" fontId="0" fillId="0" borderId="39" xfId="39" applyFont="1" applyFill="1" applyBorder="1" applyAlignment="1">
      <alignment wrapText="1"/>
      <protection/>
    </xf>
    <xf numFmtId="0" fontId="28" fillId="17" borderId="40" xfId="39" applyFont="1" applyFill="1" applyBorder="1" applyAlignment="1">
      <alignment horizontal="center"/>
      <protection/>
    </xf>
    <xf numFmtId="0" fontId="1" fillId="0" borderId="41" xfId="39" applyFont="1" applyFill="1" applyBorder="1">
      <alignment/>
      <protection/>
    </xf>
    <xf numFmtId="0" fontId="1" fillId="0" borderId="0" xfId="39" applyFont="1" applyFill="1" applyBorder="1" applyAlignment="1">
      <alignment horizontal="center"/>
      <protection/>
    </xf>
    <xf numFmtId="0" fontId="1" fillId="0" borderId="0" xfId="39" applyFont="1" applyFill="1" applyBorder="1">
      <alignment/>
      <protection/>
    </xf>
    <xf numFmtId="0" fontId="0" fillId="17" borderId="0" xfId="39" applyFill="1">
      <alignment/>
      <protection/>
    </xf>
    <xf numFmtId="0" fontId="0" fillId="17" borderId="0" xfId="39" applyFill="1" applyAlignment="1">
      <alignment horizontal="center" vertical="top"/>
      <protection/>
    </xf>
    <xf numFmtId="0" fontId="36" fillId="17" borderId="0" xfId="39" applyFont="1" applyFill="1" applyAlignment="1">
      <alignment horizontal="center" vertical="top"/>
      <protection/>
    </xf>
    <xf numFmtId="0" fontId="37" fillId="17" borderId="0" xfId="39" applyFont="1" applyFill="1" applyAlignment="1">
      <alignment vertical="top"/>
      <protection/>
    </xf>
    <xf numFmtId="49" fontId="0" fillId="17" borderId="0" xfId="39" applyNumberFormat="1" applyFill="1" applyAlignment="1">
      <alignment vertical="top"/>
      <protection/>
    </xf>
    <xf numFmtId="49" fontId="0" fillId="0" borderId="0" xfId="39" applyNumberFormat="1" applyAlignment="1">
      <alignment vertical="top"/>
      <protection/>
    </xf>
    <xf numFmtId="0" fontId="25" fillId="17" borderId="0" xfId="39" applyFont="1" applyFill="1" applyBorder="1" applyAlignment="1">
      <alignment horizontal="center" vertical="top"/>
      <protection/>
    </xf>
    <xf numFmtId="0" fontId="35" fillId="17" borderId="0" xfId="39" applyFont="1" applyFill="1" applyAlignment="1">
      <alignment vertical="top"/>
      <protection/>
    </xf>
    <xf numFmtId="49" fontId="34" fillId="17" borderId="0" xfId="39" applyNumberFormat="1" applyFont="1" applyFill="1" applyAlignment="1">
      <alignment vertical="top"/>
      <protection/>
    </xf>
    <xf numFmtId="0" fontId="37" fillId="0" borderId="0" xfId="0" applyFont="1" applyAlignment="1">
      <alignment horizontal="center" vertical="top"/>
    </xf>
    <xf numFmtId="0" fontId="35" fillId="0" borderId="0" xfId="0" applyFont="1" applyBorder="1" applyAlignment="1">
      <alignment horizontal="right" vertical="top"/>
    </xf>
    <xf numFmtId="0" fontId="37" fillId="0" borderId="0" xfId="0" applyFont="1" applyAlignment="1">
      <alignment horizontal="right" vertical="top"/>
    </xf>
    <xf numFmtId="0" fontId="16" fillId="0" borderId="18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9" fillId="27" borderId="40" xfId="39" applyFont="1" applyFill="1" applyBorder="1" applyAlignment="1">
      <alignment horizontal="left" wrapText="1"/>
      <protection/>
    </xf>
    <xf numFmtId="0" fontId="29" fillId="27" borderId="40" xfId="39" applyFont="1" applyFill="1" applyBorder="1" applyAlignment="1">
      <alignment horizontal="center"/>
      <protection/>
    </xf>
    <xf numFmtId="0" fontId="29" fillId="17" borderId="40" xfId="39" applyFont="1" applyFill="1" applyBorder="1" applyAlignment="1">
      <alignment horizontal="center"/>
      <protection/>
    </xf>
    <xf numFmtId="0" fontId="28" fillId="17" borderId="40" xfId="39" applyFont="1" applyFill="1" applyBorder="1" applyAlignment="1">
      <alignment horizontal="center"/>
      <protection/>
    </xf>
    <xf numFmtId="0" fontId="30" fillId="0" borderId="23" xfId="39" applyFont="1" applyFill="1" applyBorder="1" applyAlignment="1">
      <alignment horizontal="center"/>
      <protection/>
    </xf>
    <xf numFmtId="0" fontId="0" fillId="0" borderId="25" xfId="39" applyFill="1" applyBorder="1" applyAlignment="1">
      <alignment horizontal="left" vertical="center" wrapText="1"/>
      <protection/>
    </xf>
    <xf numFmtId="0" fontId="0" fillId="0" borderId="25" xfId="39" applyFill="1" applyBorder="1" applyAlignment="1">
      <alignment horizontal="center" vertical="center" wrapText="1"/>
      <protection/>
    </xf>
    <xf numFmtId="0" fontId="30" fillId="0" borderId="25" xfId="39" applyFont="1" applyFill="1" applyBorder="1" applyAlignment="1">
      <alignment horizontal="center"/>
      <protection/>
    </xf>
    <xf numFmtId="0" fontId="26" fillId="0" borderId="25" xfId="39" applyFont="1" applyFill="1" applyBorder="1" applyAlignment="1">
      <alignment horizontal="center"/>
      <protection/>
    </xf>
    <xf numFmtId="0" fontId="26" fillId="0" borderId="23" xfId="39" applyFont="1" applyFill="1" applyBorder="1" applyAlignment="1">
      <alignment horizontal="center"/>
      <protection/>
    </xf>
    <xf numFmtId="0" fontId="0" fillId="0" borderId="25" xfId="39" applyFont="1" applyFill="1" applyBorder="1" applyAlignment="1">
      <alignment horizontal="left" vertical="center" wrapText="1"/>
      <protection/>
    </xf>
    <xf numFmtId="0" fontId="40" fillId="0" borderId="20" xfId="34" applyFont="1" applyFill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3 2" xfId="35"/>
    <cellStyle name="Normal 3 2 2" xfId="36"/>
    <cellStyle name="Normal 5" xfId="37"/>
    <cellStyle name="Normal 5 2" xfId="38"/>
    <cellStyle name="Normal 6" xfId="39"/>
    <cellStyle name="Normal 7" xfId="40"/>
    <cellStyle name="Normal 8" xfId="41"/>
    <cellStyle name="Normal_P141 cortec" xfId="42"/>
    <cellStyle name="Normal_P441-2-4 cortec 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tecs\P139%20OrderForm_v18_03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rtecs\P923%20OrderForm_v6_01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rtec ENG"/>
      <sheetName val="Configurator"/>
      <sheetName val="Master Text"/>
      <sheetName val="Availability"/>
      <sheetName val="Change Log"/>
      <sheetName val="BOM"/>
      <sheetName val="Tendering"/>
      <sheetName val="Routing"/>
      <sheetName val="Routing DB"/>
      <sheetName val="Parts List"/>
      <sheetName val="Processor Lookup"/>
      <sheetName val="Date Drivers"/>
      <sheetName val="Date Drivers HIST"/>
      <sheetName val="Codes"/>
      <sheetName val="Codes HIST"/>
      <sheetName val="Databa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rtec (Phase 1)"/>
      <sheetName val="Phase 1 to Phase 2 Equivalent"/>
      <sheetName val="Cortec ENG"/>
      <sheetName val="Configurator"/>
      <sheetName val="Change Log"/>
      <sheetName val="Master Text"/>
      <sheetName val="BOM"/>
      <sheetName val="Database"/>
      <sheetName val="Tendering"/>
      <sheetName val="Date Drivers"/>
      <sheetName val="Get Name"/>
      <sheetName val="Mac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GridLines="0" showRowColHeaders="0" tabSelected="1" zoomScalePageLayoutView="0" workbookViewId="0" topLeftCell="A1">
      <selection activeCell="A56" sqref="A56"/>
    </sheetView>
  </sheetViews>
  <sheetFormatPr defaultColWidth="9.00390625" defaultRowHeight="14.25"/>
  <cols>
    <col min="1" max="1" width="35.50390625" style="292" customWidth="1"/>
    <col min="2" max="2" width="37.625" style="292" bestFit="1" customWidth="1"/>
    <col min="3" max="10" width="2.125" style="292" customWidth="1"/>
    <col min="11" max="11" width="3.625" style="292" customWidth="1"/>
    <col min="12" max="19" width="2.125" style="292" customWidth="1"/>
    <col min="20" max="20" width="3.625" style="292" customWidth="1"/>
    <col min="21" max="22" width="2.125" style="292" customWidth="1"/>
    <col min="23" max="23" width="3.375" style="292" customWidth="1"/>
    <col min="24" max="16384" width="9.00390625" style="292" customWidth="1"/>
  </cols>
  <sheetData>
    <row r="1" spans="1:18" ht="24">
      <c r="A1" s="352" t="s">
        <v>216</v>
      </c>
      <c r="B1" s="348"/>
      <c r="C1" s="351"/>
      <c r="D1" s="346"/>
      <c r="E1" s="345"/>
      <c r="F1" s="345"/>
      <c r="H1" s="351" t="s">
        <v>155</v>
      </c>
      <c r="I1" s="346"/>
      <c r="J1" s="345"/>
      <c r="K1" s="345"/>
      <c r="L1" s="345"/>
      <c r="M1" s="350"/>
      <c r="N1" s="350"/>
      <c r="O1" s="293"/>
      <c r="P1" s="293"/>
      <c r="Q1" s="293"/>
      <c r="R1" s="293"/>
    </row>
    <row r="2" spans="1:18" ht="18.75">
      <c r="A2" s="349"/>
      <c r="B2" s="348"/>
      <c r="C2" s="344"/>
      <c r="D2" s="346"/>
      <c r="E2" s="345"/>
      <c r="F2" s="345"/>
      <c r="H2" s="347" t="s">
        <v>215</v>
      </c>
      <c r="I2" s="346"/>
      <c r="J2" s="345"/>
      <c r="K2" s="345"/>
      <c r="L2" s="345"/>
      <c r="M2" s="345"/>
      <c r="N2" s="344"/>
      <c r="O2" s="294"/>
      <c r="P2" s="294"/>
      <c r="Q2" s="294"/>
      <c r="R2" s="293"/>
    </row>
    <row r="3" spans="1:24" ht="15">
      <c r="A3" s="343"/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3"/>
    </row>
    <row r="4" spans="1:24" ht="15">
      <c r="A4" s="343"/>
      <c r="B4" s="342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3"/>
    </row>
    <row r="5" spans="1:24" ht="15.75" thickBot="1">
      <c r="A5" s="341"/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3"/>
    </row>
    <row r="6" spans="1:24" ht="19.5" thickBot="1">
      <c r="A6" s="358" t="s">
        <v>214</v>
      </c>
      <c r="B6" s="358"/>
      <c r="C6" s="359">
        <v>3</v>
      </c>
      <c r="D6" s="359"/>
      <c r="E6" s="359">
        <v>0</v>
      </c>
      <c r="F6" s="359"/>
      <c r="G6" s="360"/>
      <c r="H6" s="360"/>
      <c r="I6" s="359" t="s">
        <v>15</v>
      </c>
      <c r="J6" s="359"/>
      <c r="K6" s="340"/>
      <c r="L6" s="361"/>
      <c r="M6" s="361"/>
      <c r="N6" s="361"/>
      <c r="O6" s="361"/>
      <c r="P6" s="361"/>
      <c r="Q6" s="361"/>
      <c r="R6" s="361"/>
      <c r="S6" s="361"/>
      <c r="T6" s="340"/>
      <c r="U6" s="361"/>
      <c r="V6" s="361"/>
      <c r="W6" s="294"/>
      <c r="X6" s="293"/>
    </row>
    <row r="7" spans="1:24" ht="14.25">
      <c r="A7" s="339"/>
      <c r="B7" s="295"/>
      <c r="C7" s="337"/>
      <c r="D7" s="337"/>
      <c r="E7" s="338"/>
      <c r="F7" s="338"/>
      <c r="G7" s="337"/>
      <c r="H7" s="337"/>
      <c r="I7" s="338"/>
      <c r="J7" s="338"/>
      <c r="K7" s="337"/>
      <c r="L7" s="338"/>
      <c r="M7" s="336"/>
      <c r="N7" s="337"/>
      <c r="O7" s="335"/>
      <c r="P7" s="338"/>
      <c r="Q7" s="336"/>
      <c r="R7" s="337"/>
      <c r="S7" s="335"/>
      <c r="T7" s="336"/>
      <c r="U7" s="335"/>
      <c r="V7" s="335"/>
      <c r="W7" s="294"/>
      <c r="X7" s="293"/>
    </row>
    <row r="8" spans="1:24" ht="15.75">
      <c r="A8" s="299" t="s">
        <v>213</v>
      </c>
      <c r="B8" s="294"/>
      <c r="C8" s="319"/>
      <c r="D8" s="319"/>
      <c r="E8" s="320"/>
      <c r="F8" s="320"/>
      <c r="G8" s="319"/>
      <c r="H8" s="319"/>
      <c r="I8" s="320"/>
      <c r="J8" s="320"/>
      <c r="K8" s="319"/>
      <c r="L8" s="320"/>
      <c r="M8" s="311"/>
      <c r="N8" s="319"/>
      <c r="O8" s="308"/>
      <c r="P8" s="320"/>
      <c r="Q8" s="311"/>
      <c r="R8" s="319"/>
      <c r="S8" s="308"/>
      <c r="T8" s="311"/>
      <c r="U8" s="308"/>
      <c r="V8" s="308"/>
      <c r="W8" s="297"/>
      <c r="X8" s="293"/>
    </row>
    <row r="9" spans="1:24" ht="15">
      <c r="A9" s="334" t="s">
        <v>212</v>
      </c>
      <c r="B9" s="306"/>
      <c r="C9" s="362">
        <v>3</v>
      </c>
      <c r="D9" s="362"/>
      <c r="E9" s="320"/>
      <c r="F9" s="320"/>
      <c r="G9" s="319"/>
      <c r="H9" s="319"/>
      <c r="I9" s="320"/>
      <c r="J9" s="320"/>
      <c r="K9" s="319"/>
      <c r="L9" s="320"/>
      <c r="M9" s="311"/>
      <c r="N9" s="308"/>
      <c r="O9" s="308"/>
      <c r="P9" s="311"/>
      <c r="Q9" s="311"/>
      <c r="R9" s="308"/>
      <c r="S9" s="308"/>
      <c r="T9" s="311"/>
      <c r="U9" s="308"/>
      <c r="V9" s="308"/>
      <c r="W9" s="297"/>
      <c r="X9" s="293"/>
    </row>
    <row r="10" spans="1:24" ht="15.75">
      <c r="A10" s="309" t="s">
        <v>211</v>
      </c>
      <c r="B10" s="294"/>
      <c r="C10" s="298"/>
      <c r="D10" s="298"/>
      <c r="E10" s="298"/>
      <c r="F10" s="298"/>
      <c r="G10" s="319"/>
      <c r="H10" s="319"/>
      <c r="I10" s="320"/>
      <c r="J10" s="320"/>
      <c r="K10" s="319"/>
      <c r="L10" s="320"/>
      <c r="M10" s="311"/>
      <c r="N10" s="308"/>
      <c r="O10" s="308"/>
      <c r="P10" s="311"/>
      <c r="Q10" s="311"/>
      <c r="R10" s="308"/>
      <c r="S10" s="308"/>
      <c r="T10" s="311"/>
      <c r="U10" s="308"/>
      <c r="V10" s="308"/>
      <c r="W10" s="297"/>
      <c r="X10" s="293"/>
    </row>
    <row r="11" spans="1:24" ht="15">
      <c r="A11" s="333" t="s">
        <v>16</v>
      </c>
      <c r="B11" s="306"/>
      <c r="C11" s="304"/>
      <c r="D11" s="304"/>
      <c r="E11" s="304"/>
      <c r="F11" s="304"/>
      <c r="G11" s="362" t="s">
        <v>0</v>
      </c>
      <c r="H11" s="362"/>
      <c r="I11" s="320"/>
      <c r="J11" s="320"/>
      <c r="K11" s="319"/>
      <c r="L11" s="320"/>
      <c r="M11" s="311"/>
      <c r="N11" s="308"/>
      <c r="O11" s="308"/>
      <c r="P11" s="311"/>
      <c r="Q11" s="311"/>
      <c r="R11" s="308"/>
      <c r="S11" s="308"/>
      <c r="T11" s="311"/>
      <c r="U11" s="308"/>
      <c r="V11" s="308"/>
      <c r="W11" s="297"/>
      <c r="X11" s="293"/>
    </row>
    <row r="12" spans="1:24" ht="15">
      <c r="A12" s="327" t="s">
        <v>17</v>
      </c>
      <c r="B12" s="301"/>
      <c r="C12" s="300"/>
      <c r="D12" s="300"/>
      <c r="E12" s="300"/>
      <c r="F12" s="300"/>
      <c r="G12" s="362" t="s">
        <v>18</v>
      </c>
      <c r="H12" s="362"/>
      <c r="I12" s="320"/>
      <c r="J12" s="320"/>
      <c r="K12" s="319"/>
      <c r="L12" s="320"/>
      <c r="M12" s="311"/>
      <c r="N12" s="308"/>
      <c r="O12" s="308"/>
      <c r="P12" s="311"/>
      <c r="Q12" s="311"/>
      <c r="R12" s="308"/>
      <c r="S12" s="308"/>
      <c r="T12" s="311"/>
      <c r="U12" s="308"/>
      <c r="V12" s="308"/>
      <c r="W12" s="297"/>
      <c r="X12" s="293"/>
    </row>
    <row r="13" spans="1:24" ht="15.75">
      <c r="A13" s="309" t="s">
        <v>210</v>
      </c>
      <c r="B13" s="294"/>
      <c r="C13" s="298"/>
      <c r="D13" s="298"/>
      <c r="E13" s="298"/>
      <c r="F13" s="298"/>
      <c r="G13" s="298"/>
      <c r="H13" s="297"/>
      <c r="I13" s="320"/>
      <c r="J13" s="320"/>
      <c r="K13" s="319"/>
      <c r="L13" s="320"/>
      <c r="M13" s="311"/>
      <c r="N13" s="308"/>
      <c r="O13" s="308"/>
      <c r="P13" s="311"/>
      <c r="Q13" s="311"/>
      <c r="R13" s="308"/>
      <c r="S13" s="308"/>
      <c r="T13" s="311"/>
      <c r="U13" s="308"/>
      <c r="V13" s="308"/>
      <c r="W13" s="297"/>
      <c r="X13" s="293"/>
    </row>
    <row r="14" spans="1:24" ht="15">
      <c r="A14" s="333" t="s">
        <v>209</v>
      </c>
      <c r="B14" s="306"/>
      <c r="C14" s="304"/>
      <c r="D14" s="304"/>
      <c r="E14" s="304"/>
      <c r="F14" s="304"/>
      <c r="G14" s="304"/>
      <c r="H14" s="304"/>
      <c r="I14" s="362" t="s">
        <v>15</v>
      </c>
      <c r="J14" s="362"/>
      <c r="K14" s="319"/>
      <c r="L14" s="320"/>
      <c r="M14" s="311"/>
      <c r="N14" s="308"/>
      <c r="O14" s="308"/>
      <c r="P14" s="311"/>
      <c r="Q14" s="311"/>
      <c r="R14" s="308"/>
      <c r="S14" s="308"/>
      <c r="T14" s="311"/>
      <c r="U14" s="308"/>
      <c r="V14" s="308"/>
      <c r="W14" s="297"/>
      <c r="X14" s="293"/>
    </row>
    <row r="15" spans="1:23" ht="15.75">
      <c r="A15" s="309" t="s">
        <v>208</v>
      </c>
      <c r="B15" s="299" t="s">
        <v>207</v>
      </c>
      <c r="C15" s="298"/>
      <c r="D15" s="298"/>
      <c r="E15" s="298"/>
      <c r="F15" s="298"/>
      <c r="G15" s="298"/>
      <c r="H15" s="298"/>
      <c r="I15" s="298"/>
      <c r="J15" s="298"/>
      <c r="K15" s="319"/>
      <c r="L15" s="320"/>
      <c r="M15" s="311"/>
      <c r="N15" s="308"/>
      <c r="O15" s="308"/>
      <c r="P15" s="311"/>
      <c r="Q15" s="311"/>
      <c r="R15" s="308"/>
      <c r="S15" s="308"/>
      <c r="T15" s="311"/>
      <c r="U15" s="308"/>
      <c r="V15" s="308"/>
      <c r="W15" s="297"/>
    </row>
    <row r="16" spans="1:23" ht="17.25">
      <c r="A16" s="333" t="s">
        <v>37</v>
      </c>
      <c r="B16" s="333" t="s">
        <v>206</v>
      </c>
      <c r="C16" s="304"/>
      <c r="D16" s="304"/>
      <c r="E16" s="304"/>
      <c r="F16" s="304"/>
      <c r="G16" s="304"/>
      <c r="H16" s="304"/>
      <c r="I16" s="304"/>
      <c r="J16" s="304"/>
      <c r="K16" s="332" t="s">
        <v>154</v>
      </c>
      <c r="L16" s="325"/>
      <c r="M16" s="311"/>
      <c r="N16" s="308"/>
      <c r="O16" s="308"/>
      <c r="P16" s="311"/>
      <c r="Q16" s="311"/>
      <c r="R16" s="308"/>
      <c r="S16" s="308"/>
      <c r="T16" s="311"/>
      <c r="U16" s="308"/>
      <c r="V16" s="308"/>
      <c r="W16" s="297"/>
    </row>
    <row r="17" spans="1:23" ht="29.25" customHeight="1">
      <c r="A17" s="329" t="s">
        <v>37</v>
      </c>
      <c r="B17" s="363" t="s">
        <v>205</v>
      </c>
      <c r="C17" s="363"/>
      <c r="D17" s="363"/>
      <c r="E17" s="363"/>
      <c r="F17" s="363"/>
      <c r="G17" s="363"/>
      <c r="H17" s="363"/>
      <c r="I17" s="363"/>
      <c r="J17" s="300"/>
      <c r="K17" s="331" t="s">
        <v>29</v>
      </c>
      <c r="L17" s="330"/>
      <c r="M17" s="311"/>
      <c r="N17" s="308"/>
      <c r="O17" s="308"/>
      <c r="P17" s="311"/>
      <c r="Q17" s="311"/>
      <c r="R17" s="308"/>
      <c r="S17" s="308"/>
      <c r="T17" s="311"/>
      <c r="U17" s="308"/>
      <c r="V17" s="308"/>
      <c r="W17" s="297"/>
    </row>
    <row r="18" spans="1:23" ht="29.25" customHeight="1">
      <c r="A18" s="327" t="s">
        <v>37</v>
      </c>
      <c r="B18" s="364" t="s">
        <v>204</v>
      </c>
      <c r="C18" s="364"/>
      <c r="D18" s="364"/>
      <c r="E18" s="364"/>
      <c r="F18" s="300"/>
      <c r="G18" s="300"/>
      <c r="H18" s="300"/>
      <c r="I18" s="300"/>
      <c r="J18" s="300"/>
      <c r="K18" s="326" t="s">
        <v>35</v>
      </c>
      <c r="L18" s="325"/>
      <c r="M18" s="311"/>
      <c r="N18" s="308"/>
      <c r="O18" s="308"/>
      <c r="P18" s="311"/>
      <c r="Q18" s="311"/>
      <c r="R18" s="308"/>
      <c r="S18" s="308"/>
      <c r="T18" s="311"/>
      <c r="U18" s="308"/>
      <c r="V18" s="308"/>
      <c r="W18" s="297"/>
    </row>
    <row r="19" spans="1:23" ht="29.25" customHeight="1">
      <c r="A19" s="327" t="s">
        <v>37</v>
      </c>
      <c r="B19" s="363" t="s">
        <v>203</v>
      </c>
      <c r="C19" s="363"/>
      <c r="D19" s="363"/>
      <c r="E19" s="363"/>
      <c r="F19" s="363"/>
      <c r="G19" s="300"/>
      <c r="H19" s="300"/>
      <c r="I19" s="300"/>
      <c r="J19" s="300"/>
      <c r="K19" s="326" t="s">
        <v>36</v>
      </c>
      <c r="L19" s="325"/>
      <c r="M19" s="311"/>
      <c r="N19" s="308"/>
      <c r="O19" s="308"/>
      <c r="P19" s="311"/>
      <c r="Q19" s="311"/>
      <c r="R19" s="308"/>
      <c r="S19" s="308"/>
      <c r="T19" s="311"/>
      <c r="U19" s="308"/>
      <c r="V19" s="308"/>
      <c r="W19" s="297"/>
    </row>
    <row r="20" spans="1:23" ht="15">
      <c r="A20" s="328" t="s">
        <v>148</v>
      </c>
      <c r="B20" s="327" t="s">
        <v>59</v>
      </c>
      <c r="C20" s="300"/>
      <c r="D20" s="300"/>
      <c r="E20" s="300"/>
      <c r="F20" s="300"/>
      <c r="G20" s="300"/>
      <c r="H20" s="300"/>
      <c r="I20" s="300"/>
      <c r="J20" s="300"/>
      <c r="K20" s="326" t="s">
        <v>124</v>
      </c>
      <c r="L20" s="325"/>
      <c r="M20" s="311"/>
      <c r="N20" s="308"/>
      <c r="O20" s="308"/>
      <c r="P20" s="311"/>
      <c r="Q20" s="311"/>
      <c r="R20" s="308"/>
      <c r="S20" s="308"/>
      <c r="T20" s="311"/>
      <c r="U20" s="308"/>
      <c r="V20" s="308"/>
      <c r="W20" s="297"/>
    </row>
    <row r="21" spans="1:23" ht="15.75">
      <c r="A21" s="324" t="s">
        <v>202</v>
      </c>
      <c r="B21" s="294"/>
      <c r="C21" s="298"/>
      <c r="D21" s="298"/>
      <c r="E21" s="298"/>
      <c r="F21" s="298"/>
      <c r="G21" s="298"/>
      <c r="H21" s="298"/>
      <c r="I21" s="298"/>
      <c r="J21" s="298"/>
      <c r="K21" s="298"/>
      <c r="L21" s="320"/>
      <c r="M21" s="311"/>
      <c r="N21" s="308"/>
      <c r="O21" s="308"/>
      <c r="P21" s="311"/>
      <c r="Q21" s="311"/>
      <c r="R21" s="308"/>
      <c r="S21" s="308"/>
      <c r="T21" s="311"/>
      <c r="U21" s="308"/>
      <c r="V21" s="308"/>
      <c r="W21" s="297"/>
    </row>
    <row r="22" spans="1:23" ht="15">
      <c r="A22" s="321" t="s">
        <v>125</v>
      </c>
      <c r="B22" s="323"/>
      <c r="C22" s="322"/>
      <c r="D22" s="322"/>
      <c r="E22" s="322"/>
      <c r="F22" s="322"/>
      <c r="G22" s="322"/>
      <c r="H22" s="322"/>
      <c r="I22" s="322"/>
      <c r="J22" s="322"/>
      <c r="K22" s="322"/>
      <c r="L22" s="362">
        <v>1</v>
      </c>
      <c r="M22" s="362"/>
      <c r="N22" s="319"/>
      <c r="O22" s="308"/>
      <c r="P22" s="311"/>
      <c r="Q22" s="311"/>
      <c r="R22" s="308"/>
      <c r="S22" s="308"/>
      <c r="T22" s="311"/>
      <c r="U22" s="308"/>
      <c r="V22" s="308"/>
      <c r="W22" s="297"/>
    </row>
    <row r="23" spans="1:23" ht="15">
      <c r="A23" s="301" t="s">
        <v>126</v>
      </c>
      <c r="B23" s="301"/>
      <c r="C23" s="300"/>
      <c r="D23" s="300"/>
      <c r="E23" s="300"/>
      <c r="F23" s="300"/>
      <c r="G23" s="300"/>
      <c r="H23" s="300"/>
      <c r="I23" s="300"/>
      <c r="J23" s="300"/>
      <c r="K23" s="300"/>
      <c r="L23" s="365">
        <v>2</v>
      </c>
      <c r="M23" s="365"/>
      <c r="N23" s="319"/>
      <c r="O23" s="308"/>
      <c r="P23" s="311"/>
      <c r="Q23" s="311"/>
      <c r="R23" s="308"/>
      <c r="S23" s="308"/>
      <c r="T23" s="311"/>
      <c r="U23" s="308"/>
      <c r="V23" s="308"/>
      <c r="W23" s="297"/>
    </row>
    <row r="24" spans="1:23" ht="15">
      <c r="A24" s="301" t="s">
        <v>78</v>
      </c>
      <c r="B24" s="301"/>
      <c r="C24" s="300"/>
      <c r="D24" s="300"/>
      <c r="E24" s="300"/>
      <c r="F24" s="300"/>
      <c r="G24" s="300"/>
      <c r="H24" s="300"/>
      <c r="I24" s="300"/>
      <c r="J24" s="300"/>
      <c r="K24" s="300"/>
      <c r="L24" s="365">
        <v>3</v>
      </c>
      <c r="M24" s="365"/>
      <c r="N24" s="319"/>
      <c r="O24" s="308"/>
      <c r="P24" s="311"/>
      <c r="Q24" s="311"/>
      <c r="R24" s="308"/>
      <c r="S24" s="308"/>
      <c r="T24" s="311"/>
      <c r="U24" s="308"/>
      <c r="V24" s="308"/>
      <c r="W24" s="297"/>
    </row>
    <row r="25" spans="1:23" ht="15">
      <c r="A25" s="301" t="s">
        <v>127</v>
      </c>
      <c r="B25" s="301"/>
      <c r="C25" s="300"/>
      <c r="D25" s="300"/>
      <c r="E25" s="300"/>
      <c r="F25" s="300"/>
      <c r="G25" s="300"/>
      <c r="H25" s="300"/>
      <c r="I25" s="300"/>
      <c r="J25" s="300"/>
      <c r="K25" s="300"/>
      <c r="L25" s="365">
        <v>4</v>
      </c>
      <c r="M25" s="365"/>
      <c r="N25" s="319"/>
      <c r="O25" s="308"/>
      <c r="P25" s="311"/>
      <c r="Q25" s="311"/>
      <c r="R25" s="308"/>
      <c r="S25" s="308"/>
      <c r="T25" s="311"/>
      <c r="U25" s="308"/>
      <c r="V25" s="308"/>
      <c r="W25" s="297"/>
    </row>
    <row r="26" spans="1:23" ht="15.75">
      <c r="A26" s="309" t="s">
        <v>201</v>
      </c>
      <c r="B26" s="294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7"/>
      <c r="N26" s="319"/>
      <c r="O26" s="308"/>
      <c r="P26" s="311"/>
      <c r="Q26" s="311"/>
      <c r="R26" s="308"/>
      <c r="S26" s="308"/>
      <c r="T26" s="311"/>
      <c r="U26" s="308"/>
      <c r="V26" s="308"/>
      <c r="W26" s="297"/>
    </row>
    <row r="27" spans="1:23" ht="15">
      <c r="A27" s="321" t="s">
        <v>200</v>
      </c>
      <c r="B27" s="306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5"/>
      <c r="N27" s="362">
        <v>0</v>
      </c>
      <c r="O27" s="362"/>
      <c r="P27" s="320"/>
      <c r="Q27" s="320"/>
      <c r="R27" s="319"/>
      <c r="S27" s="308"/>
      <c r="T27" s="311"/>
      <c r="U27" s="308"/>
      <c r="V27" s="308"/>
      <c r="W27" s="297"/>
    </row>
    <row r="28" spans="1:23" ht="15">
      <c r="A28" s="301" t="s">
        <v>199</v>
      </c>
      <c r="B28" s="301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2"/>
      <c r="N28" s="365">
        <v>1</v>
      </c>
      <c r="O28" s="365"/>
      <c r="P28" s="320"/>
      <c r="Q28" s="320"/>
      <c r="R28" s="319"/>
      <c r="S28" s="308"/>
      <c r="T28" s="311"/>
      <c r="U28" s="308"/>
      <c r="V28" s="308"/>
      <c r="W28" s="297"/>
    </row>
    <row r="29" spans="1:23" ht="15">
      <c r="A29" s="301" t="s">
        <v>198</v>
      </c>
      <c r="B29" s="301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2"/>
      <c r="N29" s="365">
        <v>2</v>
      </c>
      <c r="O29" s="365"/>
      <c r="P29" s="320"/>
      <c r="Q29" s="320"/>
      <c r="R29" s="319"/>
      <c r="S29" s="308"/>
      <c r="T29" s="311"/>
      <c r="U29" s="308"/>
      <c r="V29" s="308"/>
      <c r="W29" s="297"/>
    </row>
    <row r="30" spans="1:23" ht="15">
      <c r="A30" s="301" t="s">
        <v>197</v>
      </c>
      <c r="B30" s="301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2"/>
      <c r="N30" s="365">
        <v>3</v>
      </c>
      <c r="O30" s="365"/>
      <c r="P30" s="320"/>
      <c r="Q30" s="320"/>
      <c r="R30" s="319"/>
      <c r="S30" s="308"/>
      <c r="T30" s="311"/>
      <c r="U30" s="308"/>
      <c r="V30" s="308"/>
      <c r="W30" s="297"/>
    </row>
    <row r="31" spans="1:23" ht="15">
      <c r="A31" s="301" t="s">
        <v>196</v>
      </c>
      <c r="B31" s="301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2"/>
      <c r="N31" s="365">
        <v>4</v>
      </c>
      <c r="O31" s="365"/>
      <c r="P31" s="320"/>
      <c r="Q31" s="320"/>
      <c r="R31" s="319"/>
      <c r="S31" s="308"/>
      <c r="T31" s="311"/>
      <c r="U31" s="308"/>
      <c r="V31" s="308"/>
      <c r="W31" s="297"/>
    </row>
    <row r="32" spans="1:23" ht="15">
      <c r="A32" s="301" t="s">
        <v>195</v>
      </c>
      <c r="B32" s="301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2"/>
      <c r="N32" s="365">
        <v>5</v>
      </c>
      <c r="O32" s="365"/>
      <c r="P32" s="320"/>
      <c r="Q32" s="320"/>
      <c r="R32" s="319"/>
      <c r="S32" s="308"/>
      <c r="T32" s="311"/>
      <c r="U32" s="308"/>
      <c r="V32" s="308"/>
      <c r="W32" s="297"/>
    </row>
    <row r="33" spans="1:23" ht="15">
      <c r="A33" s="301" t="s">
        <v>194</v>
      </c>
      <c r="B33" s="301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2"/>
      <c r="N33" s="365">
        <v>6</v>
      </c>
      <c r="O33" s="365"/>
      <c r="P33" s="320"/>
      <c r="Q33" s="320"/>
      <c r="R33" s="319"/>
      <c r="S33" s="308"/>
      <c r="T33" s="311"/>
      <c r="U33" s="308"/>
      <c r="V33" s="308"/>
      <c r="W33" s="297"/>
    </row>
    <row r="34" spans="1:23" ht="15">
      <c r="A34" s="301" t="s">
        <v>193</v>
      </c>
      <c r="B34" s="301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2"/>
      <c r="N34" s="365">
        <v>7</v>
      </c>
      <c r="O34" s="365"/>
      <c r="P34" s="318"/>
      <c r="Q34" s="318"/>
      <c r="R34" s="314"/>
      <c r="S34" s="308"/>
      <c r="T34" s="311"/>
      <c r="U34" s="308"/>
      <c r="V34" s="308"/>
      <c r="W34" s="297"/>
    </row>
    <row r="35" spans="1:23" ht="15">
      <c r="A35" s="301" t="s">
        <v>192</v>
      </c>
      <c r="B35" s="301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2"/>
      <c r="N35" s="366">
        <v>8</v>
      </c>
      <c r="O35" s="366"/>
      <c r="P35" s="318"/>
      <c r="Q35" s="318"/>
      <c r="R35" s="314"/>
      <c r="S35" s="308"/>
      <c r="T35" s="311"/>
      <c r="U35" s="308"/>
      <c r="V35" s="308"/>
      <c r="W35" s="297"/>
    </row>
    <row r="36" spans="1:23" ht="15">
      <c r="A36" s="301" t="s">
        <v>191</v>
      </c>
      <c r="B36" s="301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2"/>
      <c r="N36" s="366" t="s">
        <v>0</v>
      </c>
      <c r="O36" s="366"/>
      <c r="P36" s="318"/>
      <c r="Q36" s="318"/>
      <c r="R36" s="314"/>
      <c r="S36" s="308"/>
      <c r="T36" s="311"/>
      <c r="U36" s="308"/>
      <c r="V36" s="308"/>
      <c r="W36" s="297"/>
    </row>
    <row r="37" spans="1:23" ht="17.25">
      <c r="A37" s="303" t="s">
        <v>190</v>
      </c>
      <c r="B37" s="301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2"/>
      <c r="N37" s="365" t="s">
        <v>18</v>
      </c>
      <c r="O37" s="365"/>
      <c r="P37" s="318"/>
      <c r="Q37" s="318"/>
      <c r="R37" s="314"/>
      <c r="S37" s="308"/>
      <c r="T37" s="311"/>
      <c r="U37" s="308"/>
      <c r="V37" s="308"/>
      <c r="W37" s="297"/>
    </row>
    <row r="38" spans="1:23" ht="17.25">
      <c r="A38" s="303" t="s">
        <v>189</v>
      </c>
      <c r="B38" s="301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2"/>
      <c r="N38" s="365" t="s">
        <v>28</v>
      </c>
      <c r="O38" s="365"/>
      <c r="P38" s="318"/>
      <c r="Q38" s="318"/>
      <c r="R38" s="314"/>
      <c r="S38" s="308"/>
      <c r="T38" s="311"/>
      <c r="U38" s="308"/>
      <c r="V38" s="308"/>
      <c r="W38" s="297"/>
    </row>
    <row r="39" spans="1:23" ht="15">
      <c r="A39" s="303" t="s">
        <v>188</v>
      </c>
      <c r="B39" s="30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2"/>
      <c r="N39" s="366" t="s">
        <v>32</v>
      </c>
      <c r="O39" s="366"/>
      <c r="P39" s="318"/>
      <c r="Q39" s="318"/>
      <c r="R39" s="314"/>
      <c r="S39" s="308"/>
      <c r="T39" s="311"/>
      <c r="U39" s="308"/>
      <c r="V39" s="308"/>
      <c r="W39" s="297"/>
    </row>
    <row r="40" spans="1:23" ht="17.25">
      <c r="A40" s="303" t="s">
        <v>187</v>
      </c>
      <c r="B40" s="301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2"/>
      <c r="N40" s="365" t="s">
        <v>87</v>
      </c>
      <c r="O40" s="365"/>
      <c r="P40" s="318"/>
      <c r="Q40" s="318"/>
      <c r="R40" s="314"/>
      <c r="S40" s="308"/>
      <c r="T40" s="311"/>
      <c r="U40" s="308"/>
      <c r="V40" s="308"/>
      <c r="W40" s="297"/>
    </row>
    <row r="41" spans="1:23" ht="15.75">
      <c r="A41" s="309" t="s">
        <v>186</v>
      </c>
      <c r="B41" s="294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7"/>
      <c r="N41" s="297"/>
      <c r="O41" s="312"/>
      <c r="P41" s="318"/>
      <c r="Q41" s="318"/>
      <c r="R41" s="314"/>
      <c r="S41" s="308"/>
      <c r="T41" s="311"/>
      <c r="U41" s="308"/>
      <c r="V41" s="308"/>
      <c r="W41" s="297"/>
    </row>
    <row r="42" spans="1:23" ht="15">
      <c r="A42" s="317" t="s">
        <v>153</v>
      </c>
      <c r="B42" s="306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5"/>
      <c r="N42" s="305"/>
      <c r="O42" s="316"/>
      <c r="P42" s="367">
        <v>2</v>
      </c>
      <c r="Q42" s="367"/>
      <c r="R42" s="314"/>
      <c r="S42" s="308"/>
      <c r="T42" s="311"/>
      <c r="U42" s="308"/>
      <c r="V42" s="308"/>
      <c r="W42" s="297"/>
    </row>
    <row r="43" spans="1:23" ht="29.25" customHeight="1">
      <c r="A43" s="368" t="s">
        <v>185</v>
      </c>
      <c r="B43" s="368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2"/>
      <c r="N43" s="302"/>
      <c r="O43" s="315"/>
      <c r="P43" s="366">
        <v>3</v>
      </c>
      <c r="Q43" s="366"/>
      <c r="R43" s="314"/>
      <c r="S43" s="308"/>
      <c r="T43" s="311"/>
      <c r="U43" s="308"/>
      <c r="V43" s="308"/>
      <c r="W43" s="297"/>
    </row>
    <row r="44" spans="1:23" ht="15">
      <c r="A44" s="313" t="s">
        <v>184</v>
      </c>
      <c r="B44" s="294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7"/>
      <c r="N44" s="297"/>
      <c r="O44" s="297"/>
      <c r="P44" s="297"/>
      <c r="Q44" s="312"/>
      <c r="R44" s="308"/>
      <c r="S44" s="308"/>
      <c r="T44" s="311"/>
      <c r="U44" s="308"/>
      <c r="V44" s="308"/>
      <c r="W44" s="297"/>
    </row>
    <row r="45" spans="1:23" ht="15">
      <c r="A45" s="310" t="s">
        <v>38</v>
      </c>
      <c r="B45" s="306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5"/>
      <c r="N45" s="305"/>
      <c r="O45" s="305"/>
      <c r="P45" s="305"/>
      <c r="Q45" s="305"/>
      <c r="R45" s="362" t="s">
        <v>3</v>
      </c>
      <c r="S45" s="362"/>
      <c r="T45" s="311"/>
      <c r="U45" s="308"/>
      <c r="V45" s="308"/>
      <c r="W45" s="297"/>
    </row>
    <row r="46" spans="1:23" ht="27" customHeight="1">
      <c r="A46" s="369" t="s">
        <v>183</v>
      </c>
      <c r="B46" s="369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7"/>
      <c r="N46" s="297"/>
      <c r="O46" s="297"/>
      <c r="P46" s="297"/>
      <c r="Q46" s="297"/>
      <c r="R46" s="297"/>
      <c r="S46" s="297"/>
      <c r="T46" s="311"/>
      <c r="U46" s="308"/>
      <c r="V46" s="308"/>
      <c r="W46" s="297"/>
    </row>
    <row r="47" spans="1:23" ht="15">
      <c r="A47" s="310" t="s">
        <v>38</v>
      </c>
      <c r="B47" s="306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5"/>
      <c r="N47" s="305"/>
      <c r="O47" s="305"/>
      <c r="P47" s="305"/>
      <c r="Q47" s="305"/>
      <c r="R47" s="305"/>
      <c r="S47" s="305"/>
      <c r="T47" s="305" t="s">
        <v>3</v>
      </c>
      <c r="U47" s="308"/>
      <c r="V47" s="308"/>
      <c r="W47" s="297"/>
    </row>
    <row r="48" spans="1:23" ht="15.75">
      <c r="A48" s="309" t="s">
        <v>182</v>
      </c>
      <c r="B48" s="294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308"/>
      <c r="V48" s="308"/>
      <c r="W48" s="297"/>
    </row>
    <row r="49" spans="1:23" ht="17.25">
      <c r="A49" s="307" t="s">
        <v>181</v>
      </c>
      <c r="B49" s="306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62">
        <v>0</v>
      </c>
      <c r="V49" s="362"/>
      <c r="W49" s="297"/>
    </row>
    <row r="50" spans="1:23" ht="15">
      <c r="A50" s="301" t="s">
        <v>180</v>
      </c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65">
        <v>1</v>
      </c>
      <c r="V50" s="365"/>
      <c r="W50" s="297"/>
    </row>
    <row r="51" spans="1:23" ht="17.25">
      <c r="A51" s="303" t="s">
        <v>179</v>
      </c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65">
        <v>2</v>
      </c>
      <c r="V51" s="365"/>
      <c r="W51" s="297"/>
    </row>
    <row r="52" spans="1:23" ht="15">
      <c r="A52" s="301" t="s">
        <v>178</v>
      </c>
      <c r="B52" s="301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65">
        <v>3</v>
      </c>
      <c r="V52" s="365"/>
      <c r="W52" s="297"/>
    </row>
    <row r="53" spans="1:23" ht="15">
      <c r="A53" s="294"/>
      <c r="B53" s="294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</row>
    <row r="54" spans="1:23" ht="15.75">
      <c r="A54" s="299" t="s">
        <v>177</v>
      </c>
      <c r="B54" s="294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</row>
    <row r="55" spans="1:23" ht="17.25">
      <c r="A55" s="296" t="s">
        <v>176</v>
      </c>
      <c r="B55" s="294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</row>
    <row r="56" spans="1:23" ht="16.5">
      <c r="A56" s="296" t="s">
        <v>175</v>
      </c>
      <c r="B56" s="294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</row>
    <row r="57" spans="1:23" ht="16.5">
      <c r="A57" s="296" t="s">
        <v>174</v>
      </c>
      <c r="B57" s="294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</row>
    <row r="58" spans="1:23" ht="14.25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 ht="14.25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</row>
    <row r="60" spans="1:23" ht="14.25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</row>
    <row r="61" spans="1:23" ht="14.25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</row>
    <row r="62" spans="1:23" ht="14.25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3" ht="14.25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</row>
    <row r="64" spans="1:23" ht="14.25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</row>
    <row r="65" spans="1:23" ht="14.25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</row>
    <row r="66" spans="1:23" ht="14.25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</row>
  </sheetData>
  <sheetProtection password="C927" sheet="1" objects="1" scenarios="1"/>
  <mergeCells count="44">
    <mergeCell ref="U51:V51"/>
    <mergeCell ref="U52:V52"/>
    <mergeCell ref="A43:B43"/>
    <mergeCell ref="P43:Q43"/>
    <mergeCell ref="R45:S45"/>
    <mergeCell ref="A46:B46"/>
    <mergeCell ref="U49:V49"/>
    <mergeCell ref="U50:V50"/>
    <mergeCell ref="N36:O36"/>
    <mergeCell ref="N37:O37"/>
    <mergeCell ref="N38:O38"/>
    <mergeCell ref="N39:O39"/>
    <mergeCell ref="N40:O40"/>
    <mergeCell ref="P42:Q42"/>
    <mergeCell ref="N30:O30"/>
    <mergeCell ref="N31:O31"/>
    <mergeCell ref="N32:O32"/>
    <mergeCell ref="N33:O33"/>
    <mergeCell ref="N34:O34"/>
    <mergeCell ref="N35:O35"/>
    <mergeCell ref="L23:M23"/>
    <mergeCell ref="L24:M24"/>
    <mergeCell ref="L25:M25"/>
    <mergeCell ref="N27:O27"/>
    <mergeCell ref="N28:O28"/>
    <mergeCell ref="N29:O29"/>
    <mergeCell ref="G12:H12"/>
    <mergeCell ref="I14:J14"/>
    <mergeCell ref="B17:I17"/>
    <mergeCell ref="B18:E18"/>
    <mergeCell ref="B19:F19"/>
    <mergeCell ref="L22:M22"/>
    <mergeCell ref="N6:O6"/>
    <mergeCell ref="P6:Q6"/>
    <mergeCell ref="R6:S6"/>
    <mergeCell ref="U6:V6"/>
    <mergeCell ref="C9:D9"/>
    <mergeCell ref="G11:H11"/>
    <mergeCell ref="A6:B6"/>
    <mergeCell ref="C6:D6"/>
    <mergeCell ref="E6:F6"/>
    <mergeCell ref="G6:H6"/>
    <mergeCell ref="I6:J6"/>
    <mergeCell ref="L6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P17" sqref="P17"/>
    </sheetView>
  </sheetViews>
  <sheetFormatPr defaultColWidth="9.00390625" defaultRowHeight="14.25"/>
  <cols>
    <col min="1" max="1" width="56.50390625" style="1" customWidth="1"/>
    <col min="2" max="2" width="5.625" style="1" customWidth="1"/>
    <col min="3" max="3" width="3.125" style="1" customWidth="1"/>
    <col min="4" max="4" width="2.75390625" style="1" customWidth="1"/>
    <col min="5" max="6" width="2.50390625" style="1" customWidth="1"/>
    <col min="7" max="7" width="2.75390625" style="1" customWidth="1"/>
    <col min="8" max="9" width="2.50390625" style="1" customWidth="1"/>
    <col min="10" max="10" width="2.50390625" style="18" customWidth="1"/>
    <col min="11" max="11" width="2.50390625" style="1" customWidth="1"/>
    <col min="12" max="13" width="2.75390625" style="1" customWidth="1"/>
    <col min="14" max="14" width="1.4921875" style="1" customWidth="1"/>
    <col min="15" max="15" width="11.125" style="1" customWidth="1"/>
    <col min="16" max="16384" width="9.00390625" style="1" customWidth="1"/>
  </cols>
  <sheetData>
    <row r="1" spans="1:19" ht="24">
      <c r="A1" s="260" t="s">
        <v>216</v>
      </c>
      <c r="B1" s="185"/>
      <c r="C1" s="257"/>
      <c r="D1" s="187"/>
      <c r="E1" s="187"/>
      <c r="F1" s="185"/>
      <c r="J1" s="185"/>
      <c r="K1" s="185"/>
      <c r="L1" s="185"/>
      <c r="M1" s="354" t="s">
        <v>155</v>
      </c>
      <c r="N1" s="185"/>
      <c r="R1" s="187"/>
      <c r="S1" s="185"/>
    </row>
    <row r="2" spans="1:14" ht="18.75">
      <c r="A2" s="258"/>
      <c r="B2" s="259"/>
      <c r="C2" s="353"/>
      <c r="F2" s="259"/>
      <c r="J2" s="259"/>
      <c r="K2" s="259"/>
      <c r="L2" s="259"/>
      <c r="M2" s="355" t="s">
        <v>215</v>
      </c>
      <c r="N2" s="185"/>
    </row>
    <row r="3" spans="1:15" s="5" customFormat="1" ht="18.75" thickBot="1">
      <c r="A3" s="191"/>
      <c r="B3" s="184"/>
      <c r="C3" s="184"/>
      <c r="D3" s="185"/>
      <c r="E3" s="185"/>
      <c r="F3" s="185"/>
      <c r="G3" s="185"/>
      <c r="H3" s="185"/>
      <c r="I3" s="185"/>
      <c r="J3" s="186"/>
      <c r="K3" s="185"/>
      <c r="L3" s="185"/>
      <c r="M3" s="185"/>
      <c r="N3" s="185"/>
      <c r="O3" s="185"/>
    </row>
    <row r="4" spans="1:15" s="8" customFormat="1" ht="12" thickBot="1">
      <c r="A4" s="6"/>
      <c r="B4" s="7" t="s">
        <v>39</v>
      </c>
      <c r="C4" s="7">
        <v>4</v>
      </c>
      <c r="D4" s="7">
        <v>5</v>
      </c>
      <c r="E4" s="7">
        <v>6</v>
      </c>
      <c r="F4" s="37">
        <v>7</v>
      </c>
      <c r="G4" s="37">
        <v>8</v>
      </c>
      <c r="H4" s="37">
        <v>9</v>
      </c>
      <c r="I4" s="37">
        <v>10</v>
      </c>
      <c r="J4" s="38">
        <v>11</v>
      </c>
      <c r="K4" s="182" t="str">
        <f>VLOOKUP(Database!$C$2,Database!$A$3:$F$5,4)</f>
        <v>12</v>
      </c>
      <c r="L4" s="182" t="str">
        <f>VLOOKUP(Database!$C$2,Database!$A$3:$F$5,5)</f>
        <v>13</v>
      </c>
      <c r="M4" s="183" t="str">
        <f>VLOOKUP(Database!$C$2,Database!$A$3:$F$5,6)</f>
        <v>14</v>
      </c>
      <c r="N4" s="189"/>
      <c r="O4" s="189"/>
    </row>
    <row r="5" spans="1:15" s="5" customFormat="1" ht="18.75" thickBot="1">
      <c r="A5" s="158" t="s">
        <v>212</v>
      </c>
      <c r="B5" s="9" t="s">
        <v>27</v>
      </c>
      <c r="C5" s="39">
        <v>3</v>
      </c>
      <c r="D5" s="33" t="s">
        <v>58</v>
      </c>
      <c r="E5" s="176" t="str">
        <f>$B$8</f>
        <v>A</v>
      </c>
      <c r="F5" s="39" t="s">
        <v>15</v>
      </c>
      <c r="G5" s="176" t="str">
        <f>$B$10</f>
        <v>Z</v>
      </c>
      <c r="H5" s="177">
        <f>$B$12</f>
        <v>3</v>
      </c>
      <c r="I5" s="176">
        <f>$B$14</f>
        <v>5</v>
      </c>
      <c r="J5" s="178">
        <f>$B$16</f>
        <v>2</v>
      </c>
      <c r="K5" s="176" t="str">
        <f>MID($B$18,1,1)</f>
        <v>C</v>
      </c>
      <c r="L5" s="176" t="str">
        <f>MID($B$18,2,1)</f>
        <v>C</v>
      </c>
      <c r="M5" s="179">
        <f>$B$20</f>
        <v>3</v>
      </c>
      <c r="N5" s="185"/>
      <c r="O5" s="185"/>
    </row>
    <row r="6" spans="1:15" s="5" customFormat="1" ht="18">
      <c r="A6" s="159" t="s">
        <v>224</v>
      </c>
      <c r="B6" s="160" t="str">
        <f>CONCATENATE("E92",C5,D5,E5,F5,G5,H5,I5,J5,K5,L5,M5)</f>
        <v>E9230ASZ352CC3</v>
      </c>
      <c r="C6" s="161"/>
      <c r="D6" s="162"/>
      <c r="E6" s="163"/>
      <c r="F6" s="164"/>
      <c r="G6" s="165"/>
      <c r="H6" s="166"/>
      <c r="I6" s="232"/>
      <c r="J6" s="206"/>
      <c r="K6" s="245"/>
      <c r="L6" s="232"/>
      <c r="M6" s="217"/>
      <c r="N6" s="185"/>
      <c r="O6" s="185"/>
    </row>
    <row r="7" spans="1:15" s="5" customFormat="1" ht="18">
      <c r="A7" s="13" t="s">
        <v>211</v>
      </c>
      <c r="B7" s="192"/>
      <c r="C7" s="193"/>
      <c r="D7" s="194"/>
      <c r="E7" s="195"/>
      <c r="F7" s="17"/>
      <c r="G7" s="225"/>
      <c r="H7" s="199"/>
      <c r="I7" s="233"/>
      <c r="J7" s="199"/>
      <c r="K7" s="246"/>
      <c r="L7" s="233"/>
      <c r="M7" s="207"/>
      <c r="N7" s="185"/>
      <c r="O7" s="185"/>
    </row>
    <row r="8" spans="1:15" ht="22.5" customHeight="1">
      <c r="A8" s="12"/>
      <c r="B8" s="180" t="str">
        <f>VLOOKUP(Tendering!$B$10,Database!$A$8:$C$9,3,FALSE)</f>
        <v>A</v>
      </c>
      <c r="C8" s="196"/>
      <c r="D8" s="197"/>
      <c r="E8" s="198"/>
      <c r="F8" s="83"/>
      <c r="G8" s="226"/>
      <c r="H8" s="200"/>
      <c r="I8" s="234"/>
      <c r="J8" s="200"/>
      <c r="K8" s="247"/>
      <c r="L8" s="234"/>
      <c r="M8" s="218"/>
      <c r="N8" s="187"/>
      <c r="O8" s="187"/>
    </row>
    <row r="9" spans="1:15" ht="18">
      <c r="A9" s="13" t="s">
        <v>217</v>
      </c>
      <c r="B9" s="229"/>
      <c r="C9" s="230"/>
      <c r="D9" s="230"/>
      <c r="E9" s="230"/>
      <c r="F9" s="230"/>
      <c r="G9" s="227"/>
      <c r="H9" s="200"/>
      <c r="I9" s="234"/>
      <c r="J9" s="200"/>
      <c r="K9" s="247"/>
      <c r="L9" s="234"/>
      <c r="M9" s="218"/>
      <c r="N9" s="187"/>
      <c r="O9" s="187"/>
    </row>
    <row r="10" spans="1:15" ht="52.5" customHeight="1">
      <c r="A10" s="14"/>
      <c r="B10" s="180" t="str">
        <f>VLOOKUP(Tendering!$B$13,Database!$A$19:$C$23,3,FALSE)</f>
        <v>Z</v>
      </c>
      <c r="C10" s="231"/>
      <c r="D10" s="231"/>
      <c r="E10" s="231"/>
      <c r="F10" s="231"/>
      <c r="G10" s="228"/>
      <c r="H10" s="200"/>
      <c r="I10" s="234"/>
      <c r="J10" s="200"/>
      <c r="K10" s="247"/>
      <c r="L10" s="234"/>
      <c r="M10" s="218"/>
      <c r="N10" s="187"/>
      <c r="O10" s="187"/>
    </row>
    <row r="11" spans="1:15" ht="18.75" customHeight="1">
      <c r="A11" s="11" t="s">
        <v>202</v>
      </c>
      <c r="B11" s="202"/>
      <c r="C11" s="203"/>
      <c r="D11" s="203"/>
      <c r="E11" s="203"/>
      <c r="F11" s="203"/>
      <c r="G11" s="203"/>
      <c r="H11" s="200"/>
      <c r="I11" s="234"/>
      <c r="J11" s="200"/>
      <c r="K11" s="247"/>
      <c r="L11" s="234"/>
      <c r="M11" s="218"/>
      <c r="N11" s="187"/>
      <c r="O11" s="187"/>
    </row>
    <row r="12" spans="1:15" ht="42.75" customHeight="1">
      <c r="A12" s="15"/>
      <c r="B12" s="180">
        <f>VLOOKUP(Tendering!$B$14,Database!$A$27:$C$30,3,FALSE)</f>
        <v>3</v>
      </c>
      <c r="C12" s="204"/>
      <c r="D12" s="205"/>
      <c r="E12" s="205"/>
      <c r="F12" s="205"/>
      <c r="G12" s="205"/>
      <c r="H12" s="201"/>
      <c r="I12" s="234"/>
      <c r="J12" s="200"/>
      <c r="K12" s="247"/>
      <c r="L12" s="234"/>
      <c r="M12" s="218"/>
      <c r="N12" s="187"/>
      <c r="O12" s="187"/>
    </row>
    <row r="13" spans="1:15" s="5" customFormat="1" ht="18">
      <c r="A13" s="11" t="s">
        <v>201</v>
      </c>
      <c r="B13" s="236"/>
      <c r="C13" s="237"/>
      <c r="D13" s="238"/>
      <c r="E13" s="238"/>
      <c r="F13" s="239"/>
      <c r="G13" s="240"/>
      <c r="H13" s="239"/>
      <c r="I13" s="233"/>
      <c r="J13" s="199"/>
      <c r="K13" s="246"/>
      <c r="L13" s="233"/>
      <c r="M13" s="207"/>
      <c r="N13" s="185"/>
      <c r="O13" s="185"/>
    </row>
    <row r="14" spans="1:15" s="5" customFormat="1" ht="111.75" customHeight="1">
      <c r="A14" s="16"/>
      <c r="B14" s="180">
        <f>VLOOKUP(Tendering!$B$15,Database!$A$36:$C$46,3,FALSE)</f>
        <v>5</v>
      </c>
      <c r="C14" s="241"/>
      <c r="D14" s="242"/>
      <c r="E14" s="242"/>
      <c r="F14" s="243"/>
      <c r="G14" s="244"/>
      <c r="H14" s="243"/>
      <c r="I14" s="235"/>
      <c r="J14" s="207"/>
      <c r="K14" s="246"/>
      <c r="L14" s="233"/>
      <c r="M14" s="207"/>
      <c r="N14" s="185"/>
      <c r="O14" s="185"/>
    </row>
    <row r="15" spans="1:15" s="5" customFormat="1" ht="18">
      <c r="A15" s="10" t="s">
        <v>186</v>
      </c>
      <c r="B15" s="210"/>
      <c r="C15" s="211"/>
      <c r="D15" s="212"/>
      <c r="E15" s="211"/>
      <c r="F15" s="213"/>
      <c r="G15" s="213"/>
      <c r="H15" s="213"/>
      <c r="I15" s="213"/>
      <c r="J15" s="208"/>
      <c r="K15" s="248"/>
      <c r="L15" s="249"/>
      <c r="M15" s="219"/>
      <c r="N15" s="185"/>
      <c r="O15" s="185"/>
    </row>
    <row r="16" spans="1:15" s="5" customFormat="1" ht="18">
      <c r="A16" s="13" t="str">
        <f>IF($B$14="D","Фаза II с крупным ЖК-дисплеем","Фаза II со стандартным дисплеем")</f>
        <v>Фаза II со стандартным дисплеем</v>
      </c>
      <c r="B16" s="180">
        <f>IF($B$14="D",3,2)</f>
        <v>2</v>
      </c>
      <c r="C16" s="214"/>
      <c r="D16" s="215"/>
      <c r="E16" s="215"/>
      <c r="F16" s="216"/>
      <c r="G16" s="216"/>
      <c r="H16" s="216"/>
      <c r="I16" s="216"/>
      <c r="J16" s="209"/>
      <c r="K16" s="250"/>
      <c r="L16" s="249"/>
      <c r="M16" s="219"/>
      <c r="N16" s="185"/>
      <c r="O16" s="185"/>
    </row>
    <row r="17" spans="1:15" s="5" customFormat="1" ht="18">
      <c r="A17" s="356" t="s">
        <v>218</v>
      </c>
      <c r="B17" s="251"/>
      <c r="C17" s="252"/>
      <c r="D17" s="253"/>
      <c r="E17" s="253"/>
      <c r="F17" s="254"/>
      <c r="G17" s="255"/>
      <c r="H17" s="254"/>
      <c r="I17" s="254"/>
      <c r="J17" s="239"/>
      <c r="K17" s="239"/>
      <c r="L17" s="233"/>
      <c r="M17" s="207"/>
      <c r="N17" s="185"/>
      <c r="O17" s="185"/>
    </row>
    <row r="18" spans="1:15" s="5" customFormat="1" ht="52.5" customHeight="1">
      <c r="A18" s="16"/>
      <c r="B18" s="181" t="str">
        <f>CONCATENATE(VLOOKUP(Tendering!$B$16,Database!$A$49:$E$53,4),VLOOKUP(Tendering!$B$16,Database!$A$49:$E$53,5))</f>
        <v>CC</v>
      </c>
      <c r="C18" s="256"/>
      <c r="D18" s="231"/>
      <c r="E18" s="231"/>
      <c r="F18" s="231"/>
      <c r="G18" s="231"/>
      <c r="H18" s="231"/>
      <c r="I18" s="231"/>
      <c r="J18" s="231"/>
      <c r="K18" s="231"/>
      <c r="L18" s="235"/>
      <c r="M18" s="207"/>
      <c r="N18" s="185"/>
      <c r="O18" s="185"/>
    </row>
    <row r="19" spans="1:15" s="5" customFormat="1" ht="18">
      <c r="A19" s="91" t="s">
        <v>182</v>
      </c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199"/>
      <c r="N19" s="185"/>
      <c r="O19" s="185"/>
    </row>
    <row r="20" spans="1:15" s="5" customFormat="1" ht="42" customHeight="1">
      <c r="A20" s="91"/>
      <c r="B20" s="181">
        <f>VLOOKUP(Tendering!$B$17,Database!$A$99:$C$102,3)</f>
        <v>3</v>
      </c>
      <c r="C20" s="223"/>
      <c r="D20" s="224"/>
      <c r="E20" s="224"/>
      <c r="F20" s="224"/>
      <c r="G20" s="224"/>
      <c r="H20" s="224"/>
      <c r="I20" s="224"/>
      <c r="J20" s="224"/>
      <c r="K20" s="224"/>
      <c r="L20" s="224"/>
      <c r="M20" s="220"/>
      <c r="N20" s="185"/>
      <c r="O20" s="185"/>
    </row>
    <row r="21" spans="1:15" ht="12.75">
      <c r="A21" s="190"/>
      <c r="B21" s="187"/>
      <c r="C21" s="187"/>
      <c r="D21" s="187"/>
      <c r="E21" s="187"/>
      <c r="F21" s="187"/>
      <c r="G21" s="187"/>
      <c r="H21" s="187"/>
      <c r="I21" s="187"/>
      <c r="J21" s="188"/>
      <c r="K21" s="187"/>
      <c r="L21" s="187"/>
      <c r="M21" s="187"/>
      <c r="N21" s="187"/>
      <c r="O21" s="187"/>
    </row>
    <row r="22" spans="1:15" ht="12.75">
      <c r="A22" s="187"/>
      <c r="B22" s="187"/>
      <c r="C22" s="187"/>
      <c r="D22" s="187"/>
      <c r="E22" s="187"/>
      <c r="F22" s="187"/>
      <c r="G22" s="187"/>
      <c r="H22" s="187"/>
      <c r="I22" s="187"/>
      <c r="J22" s="188"/>
      <c r="K22" s="187"/>
      <c r="L22" s="187"/>
      <c r="M22" s="187"/>
      <c r="N22" s="187"/>
      <c r="O22" s="187"/>
    </row>
    <row r="23" spans="1:15" ht="12.75">
      <c r="A23" s="187"/>
      <c r="B23" s="187"/>
      <c r="C23" s="187"/>
      <c r="D23" s="187"/>
      <c r="E23" s="187"/>
      <c r="F23" s="187"/>
      <c r="G23" s="187"/>
      <c r="H23" s="187"/>
      <c r="I23" s="187"/>
      <c r="J23" s="188"/>
      <c r="K23" s="187"/>
      <c r="L23" s="187"/>
      <c r="M23" s="187"/>
      <c r="N23" s="187"/>
      <c r="O23" s="187"/>
    </row>
    <row r="24" spans="1:15" ht="12.75">
      <c r="A24" s="187"/>
      <c r="B24" s="187"/>
      <c r="C24" s="187"/>
      <c r="D24" s="187"/>
      <c r="E24" s="187"/>
      <c r="F24" s="187"/>
      <c r="G24" s="187"/>
      <c r="H24" s="187"/>
      <c r="I24" s="187"/>
      <c r="J24" s="188"/>
      <c r="K24" s="187"/>
      <c r="L24" s="187"/>
      <c r="M24" s="187"/>
      <c r="N24" s="187"/>
      <c r="O24" s="187"/>
    </row>
    <row r="25" spans="1:14" ht="12.75">
      <c r="A25" s="187"/>
      <c r="B25" s="187"/>
      <c r="C25" s="187"/>
      <c r="D25" s="187"/>
      <c r="E25" s="187"/>
      <c r="F25" s="187"/>
      <c r="G25" s="187"/>
      <c r="H25" s="187"/>
      <c r="I25" s="187"/>
      <c r="J25" s="188"/>
      <c r="K25" s="187"/>
      <c r="L25" s="187"/>
      <c r="M25" s="187"/>
      <c r="N25" s="187"/>
    </row>
    <row r="26" spans="1:14" ht="12.75">
      <c r="A26" s="187"/>
      <c r="B26" s="187"/>
      <c r="C26" s="187"/>
      <c r="D26" s="187"/>
      <c r="E26" s="187"/>
      <c r="F26" s="187"/>
      <c r="G26" s="187"/>
      <c r="H26" s="187"/>
      <c r="I26" s="187"/>
      <c r="J26" s="188"/>
      <c r="K26" s="187"/>
      <c r="L26" s="187"/>
      <c r="M26" s="187"/>
      <c r="N26" s="187"/>
    </row>
    <row r="27" spans="1:14" ht="12.75">
      <c r="A27" s="187"/>
      <c r="B27" s="187"/>
      <c r="C27" s="187"/>
      <c r="D27" s="187"/>
      <c r="E27" s="187"/>
      <c r="F27" s="187"/>
      <c r="G27" s="187"/>
      <c r="H27" s="187"/>
      <c r="I27" s="187"/>
      <c r="J27" s="188"/>
      <c r="K27" s="187"/>
      <c r="L27" s="187"/>
      <c r="M27" s="187"/>
      <c r="N27" s="187"/>
    </row>
  </sheetData>
  <sheetProtection password="DFED" sheet="1" objects="1" scenarios="1"/>
  <printOptions/>
  <pageMargins left="0.75" right="0.75" top="0.5" bottom="1" header="0.5" footer="0.5"/>
  <pageSetup fitToHeight="1" fitToWidth="1" horizontalDpi="600" verticalDpi="600" orientation="portrait" paperSize="9" scale="85" r:id="rId3"/>
  <headerFooter alignWithMargins="0">
    <oddHeader>&amp;C
</oddHeader>
    <oddFooter>&amp;L&amp;D&amp;R&amp;G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21"/>
  <sheetViews>
    <sheetView showGridLines="0" showRowColHeaders="0" zoomScalePageLayoutView="0" workbookViewId="0" topLeftCell="A1">
      <selection activeCell="A18" sqref="A18"/>
    </sheetView>
  </sheetViews>
  <sheetFormatPr defaultColWidth="9.00390625" defaultRowHeight="14.25"/>
  <cols>
    <col min="1" max="1" width="50.50390625" style="170" bestFit="1" customWidth="1"/>
    <col min="2" max="16384" width="9.00390625" style="170" customWidth="1"/>
  </cols>
  <sheetData>
    <row r="1" s="169" customFormat="1" ht="18">
      <c r="A1" s="173" t="str">
        <f>CONCATENATE(Configurator!$B$5,Configurator!$C$5,Configurator!$D$5,Configurator!$E$5,Configurator!$F$5,Configurator!$G$5,Configurator!$H$5,Configurator!$I$5,Configurator!$J$5,Configurator!$K$5,Configurator!$L$5,Configurator!$M$5)</f>
        <v>P9230ASZ352CC3</v>
      </c>
    </row>
    <row r="2" ht="14.25">
      <c r="A2" s="174"/>
    </row>
    <row r="3" ht="14.25">
      <c r="A3" s="174" t="str">
        <f>Cortec!A9</f>
        <v>Дифференциальная защита по напряжению/частоте</v>
      </c>
    </row>
    <row r="4" ht="14.25">
      <c r="A4" s="174"/>
    </row>
    <row r="5" ht="14.25">
      <c r="A5" s="170" t="str">
        <f>Configurator!A7</f>
        <v>Входное напряжение:</v>
      </c>
    </row>
    <row r="6" ht="14.25" customHeight="1">
      <c r="A6" s="171" t="str">
        <f>CONCATENATE("  ",VLOOKUP(Tendering!$B$10,Database!$A$8:$B$9,2,FALSE))</f>
        <v>  57 - 130 V</v>
      </c>
    </row>
    <row r="7" ht="14.25">
      <c r="A7" s="170" t="s">
        <v>225</v>
      </c>
    </row>
    <row r="8" ht="14.25" customHeight="1">
      <c r="A8" s="171" t="str">
        <f>CONCATENATE("  ",VLOOKUP(Tendering!B12,Database!$A$12:$B$23,2,FALSE))</f>
        <v>  24 - 250 Vdc / 48 - 240 Vac</v>
      </c>
    </row>
    <row r="9" ht="14.25">
      <c r="A9" s="170" t="s">
        <v>226</v>
      </c>
    </row>
    <row r="10" ht="14.25" customHeight="1">
      <c r="A10" s="171" t="str">
        <f>CONCATENATE("  ",VLOOKUP(Tendering!$B$13,Database!$A$19:$B$23,2,FALSE))</f>
        <v>  24 - 250 Vdc / 24 - 240 Vac</v>
      </c>
    </row>
    <row r="11" ht="14.25">
      <c r="A11" s="170" t="str">
        <f>Configurator!A11</f>
        <v>Протокол связи: </v>
      </c>
    </row>
    <row r="12" ht="14.25" customHeight="1">
      <c r="A12" s="171" t="str">
        <f>CONCATENATE("  ",VLOOKUP(Tendering!$B$14,Database!$A$27:$B$30,2,FALSE))</f>
        <v>  IEC 60870-5-103</v>
      </c>
    </row>
    <row r="13" ht="14.25">
      <c r="A13" s="170" t="str">
        <f>Configurator!A13</f>
        <v>Язык:</v>
      </c>
    </row>
    <row r="14" ht="14.25">
      <c r="A14" s="171" t="str">
        <f>CONCATENATE("  ",VLOOKUP(Tendering!$B$15,Database!$A$36:$B$46,2,FALSE))</f>
        <v>  Русский</v>
      </c>
    </row>
    <row r="15" ht="14.25">
      <c r="A15" s="170" t="str">
        <f>Configurator!A15</f>
        <v>Платформа:</v>
      </c>
    </row>
    <row r="16" ht="14.25" customHeight="1">
      <c r="A16" s="171" t="str">
        <f>CONCATENATE("  ",Configurator!A16)</f>
        <v>  Фаза II со стандартным дисплеем</v>
      </c>
    </row>
    <row r="17" ht="14.25">
      <c r="A17" s="175" t="str">
        <f>Configurator!A17</f>
        <v>Версия программного обеспечения</v>
      </c>
    </row>
    <row r="18" ht="14.25">
      <c r="A18" s="171" t="str">
        <f>CONCATENATE("  ",VLOOKUP(Tendering!$B$16,Database!$A$49:$C$53,3),VLOOKUP(Tendering!$B$16,Database!$A$49:$E$53,5))</f>
        <v>  V12.C</v>
      </c>
    </row>
    <row r="19" ht="14.25">
      <c r="A19" s="175" t="str">
        <f>Configurator!A19</f>
        <v>Тип монтажа:</v>
      </c>
    </row>
    <row r="20" ht="14.25" customHeight="1">
      <c r="A20" s="171" t="str">
        <f>CONCATENATE("  ",VLOOKUP(Tendering!$B$17,Database!$A$99:$C$102,2))</f>
        <v>  Встроенный ЧМИ + герметичная крышка для защиты доступа к передней панели</v>
      </c>
    </row>
    <row r="21" ht="14.25">
      <c r="A21" s="172"/>
    </row>
    <row r="34" ht="14.25" customHeight="1"/>
    <row r="35" ht="14.25" customHeight="1"/>
    <row r="36" ht="14.25" customHeight="1"/>
    <row r="37" ht="14.25" customHeight="1"/>
    <row r="39" ht="14.25" customHeight="1"/>
  </sheetData>
  <sheetProtection password="DFED" sheet="1" objects="1" scenarios="1"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&amp;C&amp;A</oddHeader>
    <oddFooter>&amp;LPage &amp;P of &amp;N&amp;C&amp;F&amp;R&amp;D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BE106"/>
  <sheetViews>
    <sheetView zoomScale="75" zoomScaleNormal="75" zoomScalePageLayoutView="0" workbookViewId="0" topLeftCell="A34">
      <selection activeCell="E50" sqref="E50"/>
    </sheetView>
  </sheetViews>
  <sheetFormatPr defaultColWidth="9.00390625" defaultRowHeight="14.25"/>
  <cols>
    <col min="1" max="1" width="3.75390625" style="43" bestFit="1" customWidth="1"/>
    <col min="2" max="2" width="45.25390625" style="43" bestFit="1" customWidth="1"/>
    <col min="3" max="3" width="29.125" style="46" bestFit="1" customWidth="1"/>
    <col min="4" max="4" width="22.00390625" style="43" bestFit="1" customWidth="1"/>
    <col min="5" max="5" width="25.00390625" style="43" bestFit="1" customWidth="1"/>
    <col min="6" max="6" width="48.75390625" style="43" customWidth="1"/>
    <col min="7" max="9" width="32.875" style="43" bestFit="1" customWidth="1"/>
    <col min="10" max="10" width="32.375" style="43" bestFit="1" customWidth="1"/>
    <col min="11" max="11" width="5.125" style="43" bestFit="1" customWidth="1"/>
    <col min="12" max="12" width="6.75390625" style="43" bestFit="1" customWidth="1"/>
    <col min="13" max="13" width="5.625" style="43" bestFit="1" customWidth="1"/>
    <col min="14" max="14" width="9.25390625" style="43" customWidth="1"/>
    <col min="15" max="15" width="5.25390625" style="43" bestFit="1" customWidth="1"/>
    <col min="16" max="16" width="5.50390625" style="43" bestFit="1" customWidth="1"/>
    <col min="17" max="17" width="18.875" style="43" bestFit="1" customWidth="1"/>
    <col min="18" max="18" width="15.875" style="43" bestFit="1" customWidth="1"/>
    <col min="19" max="19" width="16.875" style="43" bestFit="1" customWidth="1"/>
    <col min="20" max="26" width="2.00390625" style="43" bestFit="1" customWidth="1"/>
    <col min="27" max="27" width="1.625" style="43" bestFit="1" customWidth="1"/>
    <col min="28" max="28" width="2.00390625" style="43" bestFit="1" customWidth="1"/>
    <col min="29" max="29" width="2.25390625" style="43" customWidth="1"/>
    <col min="30" max="30" width="2.25390625" style="43" bestFit="1" customWidth="1"/>
    <col min="31" max="31" width="2.25390625" style="43" customWidth="1"/>
    <col min="32" max="33" width="1.75390625" style="43" bestFit="1" customWidth="1"/>
    <col min="34" max="35" width="21.00390625" style="43" bestFit="1" customWidth="1"/>
    <col min="36" max="36" width="15.75390625" style="43" bestFit="1" customWidth="1"/>
    <col min="37" max="37" width="5.25390625" style="43" bestFit="1" customWidth="1"/>
    <col min="38" max="38" width="2.50390625" style="43" bestFit="1" customWidth="1"/>
    <col min="39" max="39" width="1.625" style="43" bestFit="1" customWidth="1"/>
    <col min="40" max="40" width="5.25390625" style="43" bestFit="1" customWidth="1"/>
    <col min="41" max="41" width="2.50390625" style="43" bestFit="1" customWidth="1"/>
    <col min="42" max="42" width="2.25390625" style="43" bestFit="1" customWidth="1"/>
    <col min="43" max="43" width="5.25390625" style="43" bestFit="1" customWidth="1"/>
    <col min="44" max="45" width="2.50390625" style="43" bestFit="1" customWidth="1"/>
    <col min="46" max="46" width="5.25390625" style="43" bestFit="1" customWidth="1"/>
    <col min="47" max="48" width="2.50390625" style="43" bestFit="1" customWidth="1"/>
    <col min="49" max="49" width="5.25390625" style="43" bestFit="1" customWidth="1"/>
    <col min="50" max="50" width="2.50390625" style="43" bestFit="1" customWidth="1"/>
    <col min="51" max="51" width="2.125" style="43" bestFit="1" customWidth="1"/>
    <col min="52" max="52" width="5.25390625" style="43" bestFit="1" customWidth="1"/>
    <col min="53" max="53" width="2.50390625" style="43" bestFit="1" customWidth="1"/>
    <col min="54" max="54" width="2.25390625" style="43" bestFit="1" customWidth="1"/>
    <col min="55" max="55" width="5.00390625" style="43" bestFit="1" customWidth="1"/>
    <col min="56" max="56" width="2.50390625" style="43" bestFit="1" customWidth="1"/>
    <col min="57" max="57" width="2.25390625" style="43" bestFit="1" customWidth="1"/>
    <col min="58" max="16384" width="9.00390625" style="43" customWidth="1"/>
  </cols>
  <sheetData>
    <row r="2" spans="1:7" ht="15">
      <c r="A2" s="19"/>
      <c r="B2" s="62">
        <f ca="1">TODAY()</f>
        <v>43159</v>
      </c>
      <c r="C2" s="60">
        <v>1</v>
      </c>
      <c r="D2" s="19"/>
      <c r="E2" s="34"/>
      <c r="F2" s="34"/>
      <c r="G2" s="42"/>
    </row>
    <row r="3" spans="1:57" ht="14.25">
      <c r="A3" s="20">
        <v>1</v>
      </c>
      <c r="B3" s="21" t="str">
        <f>HLOOKUP($B$2,'Date Drivers'!$L$1:$L$988,2)</f>
        <v>Areva look &amp; feel, phase 2</v>
      </c>
      <c r="C3" s="4">
        <f>HLOOKUP($B$2,'Date Drivers'!$L$1:$L$988,5)</f>
        <v>2</v>
      </c>
      <c r="D3" s="22" t="s">
        <v>42</v>
      </c>
      <c r="E3" s="23" t="s">
        <v>43</v>
      </c>
      <c r="F3" s="23" t="s">
        <v>62</v>
      </c>
      <c r="G3" s="65" t="str">
        <f>HLOOKUP('Date Drivers'!$A$1,'Date Drivers'!$L$1:$L$98,34)</f>
        <v>French</v>
      </c>
      <c r="H3" s="65" t="str">
        <f>HLOOKUP('Date Drivers'!$A$1,'Date Drivers'!$L$1:$L$98,35)</f>
        <v>English / American</v>
      </c>
      <c r="I3" s="65" t="str">
        <f>HLOOKUP('Date Drivers'!$A$1,'Date Drivers'!$L$1:$L$98,36)</f>
        <v>Spanish</v>
      </c>
      <c r="J3" s="65" t="str">
        <f>HLOOKUP('Date Drivers'!$A$1,'Date Drivers'!$L$1:$L$98,37)</f>
        <v>German</v>
      </c>
      <c r="K3" s="65" t="str">
        <f>HLOOKUP('Date Drivers'!$A$1,'Date Drivers'!$L$1:$L$98,38)</f>
        <v>Italian</v>
      </c>
      <c r="L3" s="65" t="str">
        <f>HLOOKUP('Date Drivers'!$A$1,'Date Drivers'!$L$1:$L$98,39)</f>
        <v>Russian</v>
      </c>
      <c r="M3" s="65" t="str">
        <f>HLOOKUP('Date Drivers'!$A$1,'Date Drivers'!$L$1:$L$98,40)</f>
        <v>Polish</v>
      </c>
      <c r="N3" s="65" t="str">
        <f>HLOOKUP('Date Drivers'!$A$1,'Date Drivers'!$L$1:$L$98,41)</f>
        <v>Portuguese</v>
      </c>
      <c r="O3" s="65" t="str">
        <f>HLOOKUP('Date Drivers'!$A$1,'Date Drivers'!$L$1:$L$98,42)</f>
        <v>Dutch</v>
      </c>
      <c r="P3" s="65" t="str">
        <f>HLOOKUP('Date Drivers'!$A$1,'Date Drivers'!$L$1:$L$98,43)</f>
        <v>Czech</v>
      </c>
      <c r="Q3" s="65" t="str">
        <f>HLOOKUP('Date Drivers'!$A$1,'Date Drivers'!$L$1:$L$98,44)</f>
        <v>Hungarian : not available</v>
      </c>
      <c r="R3" s="65" t="str">
        <f>HLOOKUP('Date Drivers'!$A$1,'Date Drivers'!$L$1:$L$98,45)</f>
        <v>Greek : not available</v>
      </c>
      <c r="S3" s="65" t="str">
        <f>HLOOKUP('Date Drivers'!$A$1,'Date Drivers'!$L$1:$L$98,47)</f>
        <v>Turkish : not available</v>
      </c>
      <c r="T3" s="80" t="s">
        <v>5</v>
      </c>
      <c r="U3" s="81">
        <f>HLOOKUP('Date Drivers'!$A$1,'Date Drivers'!$L$1:$L$98,48)</f>
        <v>0</v>
      </c>
      <c r="V3" s="81">
        <f>HLOOKUP('Date Drivers'!$A$1,'Date Drivers'!$L$1:$L$98,49)</f>
        <v>1</v>
      </c>
      <c r="W3" s="81">
        <f>HLOOKUP('Date Drivers'!$A$1,'Date Drivers'!$L$1:$L$98,50)</f>
        <v>2</v>
      </c>
      <c r="X3" s="81">
        <f>HLOOKUP('Date Drivers'!$A$1,'Date Drivers'!$L$1:$L$98,51)</f>
        <v>3</v>
      </c>
      <c r="Y3" s="81">
        <f>HLOOKUP('Date Drivers'!$A$1,'Date Drivers'!$L$1:$L$98,52)</f>
        <v>4</v>
      </c>
      <c r="Z3" s="81">
        <f>HLOOKUP('Date Drivers'!$A$1,'Date Drivers'!$L$1:$L$98,53)</f>
        <v>5</v>
      </c>
      <c r="AA3" s="81">
        <f>HLOOKUP('Date Drivers'!$A$1,'Date Drivers'!$L$1:$L$98,54)</f>
        <v>6</v>
      </c>
      <c r="AB3" s="81">
        <f>HLOOKUP('Date Drivers'!$A$1,'Date Drivers'!$L$1:$L$98,55)</f>
        <v>7</v>
      </c>
      <c r="AC3" s="81">
        <f>HLOOKUP('Date Drivers'!$A$1,'Date Drivers'!$L$1:$L$98,56)</f>
        <v>8</v>
      </c>
      <c r="AD3" s="81" t="str">
        <f>HLOOKUP('Date Drivers'!$A$1,'Date Drivers'!$L$1:$L$98,57)</f>
        <v>A</v>
      </c>
      <c r="AE3" s="81" t="str">
        <f>HLOOKUP('Date Drivers'!$A$1,'Date Drivers'!$L$1:$L$98,58)</f>
        <v>*</v>
      </c>
      <c r="AF3" s="81" t="str">
        <f>HLOOKUP('Date Drivers'!$A$1,'Date Drivers'!$L$1:$L$98,59)</f>
        <v>*</v>
      </c>
      <c r="AG3" s="81" t="str">
        <f>HLOOKUP('Date Drivers'!$A$1,'Date Drivers'!$L$1:$L$98,61)</f>
        <v>*</v>
      </c>
      <c r="AH3" s="82" t="s">
        <v>2</v>
      </c>
      <c r="AI3" s="64" t="str">
        <f>HLOOKUP('Date Drivers'!$A$1,'Date Drivers'!$L$1:$L$108,99)</f>
        <v>Latest software version</v>
      </c>
      <c r="AJ3" s="64" t="str">
        <f>HLOOKUP('Date Drivers'!$A$1,'Date Drivers'!$L$1:$L$108,100)</f>
        <v>Software Version</v>
      </c>
      <c r="AK3" s="89" t="str">
        <f>HLOOKUP('Date Drivers'!$A$1,'Date Drivers'!$L$1:$L$108,97)</f>
        <v>V11.</v>
      </c>
      <c r="AL3" s="89" t="str">
        <f>HLOOKUP('Date Drivers'!$A$1,'Date Drivers'!$L$1:$L$108,101)</f>
        <v>B</v>
      </c>
      <c r="AM3" s="89" t="str">
        <f>HLOOKUP('Date Drivers'!$A$1,'Date Drivers'!$L$1:$L$108,101)</f>
        <v>B</v>
      </c>
      <c r="AN3" s="89" t="str">
        <f>HLOOKUP('Date Drivers'!$A$1,'Date Drivers'!$L$1:$L$108,98)</f>
        <v>V10.</v>
      </c>
      <c r="AO3" s="89" t="str">
        <f>HLOOKUP('Date Drivers'!$A$1,'Date Drivers'!$L$1:$L$108,102)</f>
        <v>A</v>
      </c>
      <c r="AP3" s="89" t="str">
        <f>HLOOKUP('Date Drivers'!$A$1,'Date Drivers'!$L$1:$L$108,104)</f>
        <v>H</v>
      </c>
      <c r="AQ3" s="89" t="str">
        <f>HLOOKUP('Date Drivers'!$A$1,'Date Drivers'!$L$1:$L$108,98)</f>
        <v>V10.</v>
      </c>
      <c r="AR3" s="89" t="str">
        <f>HLOOKUP('Date Drivers'!$A$1,'Date Drivers'!$L$1:$L$108,102)</f>
        <v>A</v>
      </c>
      <c r="AS3" s="89" t="str">
        <f>HLOOKUP('Date Drivers'!$A$1,'Date Drivers'!$L$1:$L$108,103)</f>
        <v>I</v>
      </c>
      <c r="AT3" s="89" t="str">
        <f>HLOOKUP('Date Drivers'!$A$1,'Date Drivers'!$L$1:$L$108,98)</f>
        <v>V10.</v>
      </c>
      <c r="AU3" s="89" t="str">
        <f>HLOOKUP('Date Drivers'!$A$1,'Date Drivers'!$L$1:$L$108,102)</f>
        <v>A</v>
      </c>
      <c r="AV3" s="89" t="str">
        <f>HLOOKUP('Date Drivers'!$A$1,'Date Drivers'!$L$1:$L$108,104)</f>
        <v>H</v>
      </c>
      <c r="AW3" s="89" t="str">
        <f>HLOOKUP('Date Drivers'!$A$1,'Date Drivers'!$L$1:$L$108,98)</f>
        <v>V10.</v>
      </c>
      <c r="AX3" s="89" t="str">
        <f>HLOOKUP('Date Drivers'!$A$1,'Date Drivers'!$L$1:$L$108,102)</f>
        <v>A</v>
      </c>
      <c r="AY3" s="89" t="str">
        <f>HLOOKUP('Date Drivers'!$A$1,'Date Drivers'!$L$1:$L$108,105)</f>
        <v>G</v>
      </c>
      <c r="AZ3" s="89" t="str">
        <f>HLOOKUP('Date Drivers'!$A$1,'Date Drivers'!$L$1:$L$108,98)</f>
        <v>V10.</v>
      </c>
      <c r="BA3" s="89" t="str">
        <f>HLOOKUP('Date Drivers'!$A$1,'Date Drivers'!$L$1:$L$108,102)</f>
        <v>A</v>
      </c>
      <c r="BB3" s="89" t="str">
        <f>IF(Configurator!$I$5=7,HLOOKUP('Date Drivers'!$A$1,'Date Drivers'!$L$1:$L$108,105),HLOOKUP('Date Drivers'!$A$1,'Date Drivers'!$L$1:$L$108,106))</f>
        <v>F</v>
      </c>
      <c r="BC3" s="89" t="str">
        <f>HLOOKUP('Date Drivers'!$A$1,'Date Drivers'!$L$1:$L$108,98)</f>
        <v>V10.</v>
      </c>
      <c r="BD3" s="89" t="str">
        <f>HLOOKUP('Date Drivers'!$A$1,'Date Drivers'!$L$1:$L$108,102)</f>
        <v>A</v>
      </c>
      <c r="BE3" s="89" t="str">
        <f>IF(Configurator!$I$5=7,HLOOKUP('Date Drivers'!$A$1,'Date Drivers'!$L$1:$L$108,105),HLOOKUP('Date Drivers'!$A$1,'Date Drivers'!$L$1:$L$108,107))</f>
        <v>E</v>
      </c>
    </row>
    <row r="4" spans="1:57" ht="14.25">
      <c r="A4" s="20">
        <v>2</v>
      </c>
      <c r="B4" s="21" t="str">
        <f>HLOOKUP($B$2,'Date Drivers'!$L$1:$L$988,3)</f>
        <v>Areva look &amp; feel, phase 2 with graphical display: Chinese</v>
      </c>
      <c r="C4" s="4">
        <f>HLOOKUP($B$2,'Date Drivers'!$L$1:$L$988,6)</f>
        <v>3</v>
      </c>
      <c r="D4" s="22" t="s">
        <v>42</v>
      </c>
      <c r="E4" s="23" t="s">
        <v>43</v>
      </c>
      <c r="F4" s="23" t="s">
        <v>62</v>
      </c>
      <c r="G4" s="65" t="str">
        <f>HLOOKUP('Date Drivers'!$A$1,'Date Drivers'!$L$1:$L$98,46)</f>
        <v>Chinese</v>
      </c>
      <c r="H4" s="80" t="s">
        <v>5</v>
      </c>
      <c r="I4" s="80" t="s">
        <v>5</v>
      </c>
      <c r="J4" s="80" t="s">
        <v>5</v>
      </c>
      <c r="K4" s="80" t="s">
        <v>5</v>
      </c>
      <c r="L4" s="80" t="s">
        <v>5</v>
      </c>
      <c r="M4" s="80" t="s">
        <v>5</v>
      </c>
      <c r="N4" s="80" t="s">
        <v>5</v>
      </c>
      <c r="O4" s="80" t="s">
        <v>5</v>
      </c>
      <c r="P4" s="80" t="s">
        <v>5</v>
      </c>
      <c r="Q4" s="80" t="s">
        <v>5</v>
      </c>
      <c r="R4" s="80" t="s">
        <v>5</v>
      </c>
      <c r="S4" s="80" t="s">
        <v>5</v>
      </c>
      <c r="T4" s="80" t="s">
        <v>5</v>
      </c>
      <c r="U4" s="81" t="str">
        <f>HLOOKUP('Date Drivers'!$A$1,'Date Drivers'!$L$1:$L$98,60)</f>
        <v>D</v>
      </c>
      <c r="V4" s="82" t="s">
        <v>2</v>
      </c>
      <c r="W4" s="82" t="s">
        <v>2</v>
      </c>
      <c r="X4" s="82" t="s">
        <v>2</v>
      </c>
      <c r="Y4" s="82" t="s">
        <v>2</v>
      </c>
      <c r="Z4" s="82" t="s">
        <v>2</v>
      </c>
      <c r="AA4" s="82" t="s">
        <v>2</v>
      </c>
      <c r="AB4" s="82" t="s">
        <v>2</v>
      </c>
      <c r="AC4" s="82" t="s">
        <v>2</v>
      </c>
      <c r="AD4" s="82" t="s">
        <v>2</v>
      </c>
      <c r="AE4" s="82" t="s">
        <v>2</v>
      </c>
      <c r="AF4" s="82" t="s">
        <v>2</v>
      </c>
      <c r="AG4" s="82" t="s">
        <v>2</v>
      </c>
      <c r="AH4" s="82" t="s">
        <v>2</v>
      </c>
      <c r="AI4" s="64" t="str">
        <f>HLOOKUP('Date Drivers'!$A$1,'Date Drivers'!$L$1:$L$108,99)</f>
        <v>Latest software version</v>
      </c>
      <c r="AJ4" s="64" t="str">
        <f>HLOOKUP('Date Drivers'!$A$1,'Date Drivers'!$L$1:$L$108,100)</f>
        <v>Software Version</v>
      </c>
      <c r="AK4" s="89" t="str">
        <f>HLOOKUP('Date Drivers'!$A$1,'Date Drivers'!$L$1:$L$108,97)</f>
        <v>V11.</v>
      </c>
      <c r="AL4" s="89" t="str">
        <f>HLOOKUP('Date Drivers'!$A$1,'Date Drivers'!$L$1:$L$108,101)</f>
        <v>B</v>
      </c>
      <c r="AM4" s="89" t="str">
        <f>HLOOKUP('Date Drivers'!$A$1,'Date Drivers'!$L$1:$L$108,101)</f>
        <v>B</v>
      </c>
      <c r="AN4" s="89" t="str">
        <f>HLOOKUP('Date Drivers'!$A$1,'Date Drivers'!$L$1:$L$108,98)</f>
        <v>V10.</v>
      </c>
      <c r="AO4" s="89" t="str">
        <f>HLOOKUP('Date Drivers'!$A$1,'Date Drivers'!$L$1:$L$108,102)</f>
        <v>A</v>
      </c>
      <c r="AP4" s="89" t="str">
        <f>HLOOKUP('Date Drivers'!$A$1,'Date Drivers'!$L$1:$L$108,104)</f>
        <v>H</v>
      </c>
      <c r="AQ4" s="89" t="str">
        <f>HLOOKUP('Date Drivers'!$A$1,'Date Drivers'!$L$1:$L$108,98)</f>
        <v>V10.</v>
      </c>
      <c r="AR4" s="89" t="str">
        <f>HLOOKUP('Date Drivers'!$A$1,'Date Drivers'!$L$1:$L$108,102)</f>
        <v>A</v>
      </c>
      <c r="AS4" s="89" t="str">
        <f>HLOOKUP('Date Drivers'!$A$1,'Date Drivers'!$L$1:$L$108,103)</f>
        <v>I</v>
      </c>
      <c r="AT4" s="89" t="str">
        <f>HLOOKUP('Date Drivers'!$A$1,'Date Drivers'!$L$1:$L$108,98)</f>
        <v>V10.</v>
      </c>
      <c r="AU4" s="89" t="str">
        <f>HLOOKUP('Date Drivers'!$A$1,'Date Drivers'!$L$1:$L$108,102)</f>
        <v>A</v>
      </c>
      <c r="AV4" s="89" t="str">
        <f>HLOOKUP('Date Drivers'!$A$1,'Date Drivers'!$L$1:$L$108,104)</f>
        <v>H</v>
      </c>
      <c r="AW4" s="89" t="str">
        <f>HLOOKUP('Date Drivers'!$A$1,'Date Drivers'!$L$1:$L$108,98)</f>
        <v>V10.</v>
      </c>
      <c r="AX4" s="89" t="str">
        <f>HLOOKUP('Date Drivers'!$A$1,'Date Drivers'!$L$1:$L$108,102)</f>
        <v>A</v>
      </c>
      <c r="AY4" s="89" t="str">
        <f>HLOOKUP('Date Drivers'!$A$1,'Date Drivers'!$L$1:$L$108,105)</f>
        <v>G</v>
      </c>
      <c r="AZ4" s="89" t="str">
        <f>HLOOKUP('Date Drivers'!$A$1,'Date Drivers'!$L$1:$L$108,98)</f>
        <v>V10.</v>
      </c>
      <c r="BA4" s="89" t="str">
        <f>HLOOKUP('Date Drivers'!$A$1,'Date Drivers'!$L$1:$L$108,102)</f>
        <v>A</v>
      </c>
      <c r="BB4" s="89" t="str">
        <f>HLOOKUP('Date Drivers'!$A$1,'Date Drivers'!$L$1:$L$108,106)</f>
        <v>F</v>
      </c>
      <c r="BC4" s="89" t="str">
        <f>HLOOKUP('Date Drivers'!$A$1,'Date Drivers'!$L$1:$L$108,98)</f>
        <v>V10.</v>
      </c>
      <c r="BD4" s="89" t="str">
        <f>HLOOKUP('Date Drivers'!$A$1,'Date Drivers'!$L$1:$L$108,102)</f>
        <v>A</v>
      </c>
      <c r="BE4" s="89" t="str">
        <f>HLOOKUP('Date Drivers'!$A$1,'Date Drivers'!$L$1:$L$108,107)</f>
        <v>E</v>
      </c>
    </row>
    <row r="5" spans="1:57" ht="14.25">
      <c r="A5" s="24">
        <v>3</v>
      </c>
      <c r="B5" s="25" t="str">
        <f>HLOOKUP($B$2,'Date Drivers'!$L$1:$L$988,4)</f>
        <v>Areva look &amp; feel, phase 1</v>
      </c>
      <c r="C5" s="26">
        <f>HLOOKUP($B$2,'Date Drivers'!$L$1:$L$988,7)</f>
        <v>1</v>
      </c>
      <c r="D5" s="35" t="s">
        <v>5</v>
      </c>
      <c r="E5" s="36" t="s">
        <v>5</v>
      </c>
      <c r="F5" s="36" t="s">
        <v>5</v>
      </c>
      <c r="G5" s="65" t="str">
        <f>HLOOKUP('Date Drivers'!$A$1,'Date Drivers'!$L$1:$L$98,34)</f>
        <v>French</v>
      </c>
      <c r="H5" s="65" t="str">
        <f>HLOOKUP('Date Drivers'!$A$1,'Date Drivers'!$L$1:$L$98,35)</f>
        <v>English / American</v>
      </c>
      <c r="I5" s="65" t="str">
        <f>HLOOKUP('Date Drivers'!$A$1,'Date Drivers'!$L$1:$L$98,36)</f>
        <v>Spanish</v>
      </c>
      <c r="J5" s="65" t="str">
        <f>HLOOKUP('Date Drivers'!$A$1,'Date Drivers'!$L$1:$L$98,37)</f>
        <v>German</v>
      </c>
      <c r="K5" s="65" t="str">
        <f>HLOOKUP('Date Drivers'!$A$1,'Date Drivers'!$L$1:$L$98,38)</f>
        <v>Italian</v>
      </c>
      <c r="L5" s="65" t="str">
        <f>HLOOKUP('Date Drivers'!$A$1,'Date Drivers'!$L$1:$L$98,39)</f>
        <v>Russian</v>
      </c>
      <c r="M5" s="65" t="str">
        <f>HLOOKUP('Date Drivers'!$A$1,'Date Drivers'!$L$1:$L$98,40)</f>
        <v>Polish</v>
      </c>
      <c r="N5" s="65" t="str">
        <f>HLOOKUP('Date Drivers'!$A$1,'Date Drivers'!$L$1:$L$98,41)</f>
        <v>Portuguese</v>
      </c>
      <c r="O5" s="65" t="str">
        <f>HLOOKUP('Date Drivers'!$A$1,'Date Drivers'!$L$1:$L$98,42)</f>
        <v>Dutch</v>
      </c>
      <c r="P5" s="65" t="str">
        <f>HLOOKUP('Date Drivers'!$A$1,'Date Drivers'!$L$1:$L$98,43)</f>
        <v>Czech</v>
      </c>
      <c r="Q5" s="65" t="str">
        <f>HLOOKUP('Date Drivers'!$A$1,'Date Drivers'!$L$1:$L$98,44)</f>
        <v>Hungarian : not available</v>
      </c>
      <c r="R5" s="65" t="str">
        <f>HLOOKUP('Date Drivers'!$A$1,'Date Drivers'!$L$1:$L$98,45)</f>
        <v>Greek : not available</v>
      </c>
      <c r="S5" s="65" t="str">
        <f>HLOOKUP('Date Drivers'!$A$1,'Date Drivers'!$L$1:$L$98,47)</f>
        <v>Turkish : not available</v>
      </c>
      <c r="T5" s="80" t="s">
        <v>5</v>
      </c>
      <c r="U5" s="81">
        <f>HLOOKUP('Date Drivers'!$A$1,'Date Drivers'!$L$1:$L$98,48)</f>
        <v>0</v>
      </c>
      <c r="V5" s="81">
        <f>HLOOKUP('Date Drivers'!$A$1,'Date Drivers'!$L$1:$L$98,49)</f>
        <v>1</v>
      </c>
      <c r="W5" s="81">
        <f>HLOOKUP('Date Drivers'!$A$1,'Date Drivers'!$L$1:$L$98,50)</f>
        <v>2</v>
      </c>
      <c r="X5" s="81">
        <f>HLOOKUP('Date Drivers'!$A$1,'Date Drivers'!$L$1:$L$98,51)</f>
        <v>3</v>
      </c>
      <c r="Y5" s="81">
        <f>HLOOKUP('Date Drivers'!$A$1,'Date Drivers'!$L$1:$L$98,52)</f>
        <v>4</v>
      </c>
      <c r="Z5" s="81">
        <f>HLOOKUP('Date Drivers'!$A$1,'Date Drivers'!$L$1:$L$98,53)</f>
        <v>5</v>
      </c>
      <c r="AA5" s="81">
        <f>HLOOKUP('Date Drivers'!$A$1,'Date Drivers'!$L$1:$L$98,54)</f>
        <v>6</v>
      </c>
      <c r="AB5" s="81">
        <f>HLOOKUP('Date Drivers'!$A$1,'Date Drivers'!$L$1:$L$98,55)</f>
        <v>7</v>
      </c>
      <c r="AC5" s="81">
        <f>HLOOKUP('Date Drivers'!$A$1,'Date Drivers'!$L$1:$L$98,56)</f>
        <v>8</v>
      </c>
      <c r="AD5" s="81" t="str">
        <f>HLOOKUP('Date Drivers'!$A$1,'Date Drivers'!$L$1:$L$98,57)</f>
        <v>A</v>
      </c>
      <c r="AE5" s="81" t="str">
        <f>HLOOKUP('Date Drivers'!$A$1,'Date Drivers'!$L$1:$L$98,58)</f>
        <v>*</v>
      </c>
      <c r="AF5" s="81" t="str">
        <f>HLOOKUP('Date Drivers'!$A$1,'Date Drivers'!$L$1:$L$98,59)</f>
        <v>*</v>
      </c>
      <c r="AG5" s="81" t="str">
        <f>HLOOKUP('Date Drivers'!$A$1,'Date Drivers'!$L$1:$L$98,61)</f>
        <v>*</v>
      </c>
      <c r="AH5" s="82" t="s">
        <v>2</v>
      </c>
      <c r="AI5" s="64" t="str">
        <f>HLOOKUP('Date Drivers'!$A$1,'Date Drivers'!$L$1:$L$108,99)</f>
        <v>Latest software version</v>
      </c>
      <c r="AJ5" s="132" t="s">
        <v>5</v>
      </c>
      <c r="AK5" s="89" t="str">
        <f>HLOOKUP('Date Drivers'!$A$1,'Date Drivers'!$L$1:$L$108,64)</f>
        <v>V6.H</v>
      </c>
      <c r="AL5" s="132" t="s">
        <v>5</v>
      </c>
      <c r="AM5" s="132" t="s">
        <v>5</v>
      </c>
      <c r="AN5" s="132" t="s">
        <v>5</v>
      </c>
      <c r="AO5" s="132" t="s">
        <v>5</v>
      </c>
      <c r="AP5" s="132" t="s">
        <v>5</v>
      </c>
      <c r="AQ5" s="132" t="s">
        <v>5</v>
      </c>
      <c r="AR5" s="132" t="s">
        <v>5</v>
      </c>
      <c r="AS5" s="132" t="s">
        <v>5</v>
      </c>
      <c r="AT5" s="132" t="s">
        <v>5</v>
      </c>
      <c r="AU5" s="132" t="s">
        <v>5</v>
      </c>
      <c r="AV5" s="132" t="s">
        <v>5</v>
      </c>
      <c r="AW5" s="132" t="s">
        <v>5</v>
      </c>
      <c r="AX5" s="132" t="s">
        <v>5</v>
      </c>
      <c r="AY5" s="132" t="s">
        <v>5</v>
      </c>
      <c r="AZ5" s="132" t="s">
        <v>5</v>
      </c>
      <c r="BA5" s="132" t="s">
        <v>5</v>
      </c>
      <c r="BB5" s="132" t="s">
        <v>5</v>
      </c>
      <c r="BC5" s="132" t="s">
        <v>5</v>
      </c>
      <c r="BD5" s="132" t="s">
        <v>5</v>
      </c>
      <c r="BE5" s="132" t="s">
        <v>5</v>
      </c>
    </row>
    <row r="7" spans="1:3" ht="14.25">
      <c r="A7" s="19"/>
      <c r="C7" s="32"/>
    </row>
    <row r="8" spans="1:3" ht="14.25">
      <c r="A8" s="20">
        <v>1</v>
      </c>
      <c r="B8" s="21" t="str">
        <f>HLOOKUP('Date Drivers'!$A$1,'Date Drivers'!$L$1:$L$988,10)</f>
        <v>57 - 130 V</v>
      </c>
      <c r="C8" s="4" t="str">
        <f>HLOOKUP('Date Drivers'!$A$1,'Date Drivers'!$L$1:$L$988,12)</f>
        <v>A</v>
      </c>
    </row>
    <row r="9" spans="1:3" ht="14.25">
      <c r="A9" s="24">
        <v>2</v>
      </c>
      <c r="B9" s="25" t="str">
        <f>HLOOKUP('Date Drivers'!$A$1,'Date Drivers'!$L$1:$L$988,11)</f>
        <v>220 - 480 V</v>
      </c>
      <c r="C9" s="26" t="str">
        <f>HLOOKUP('Date Drivers'!$A$1,'Date Drivers'!$L$1:$L$988,13)</f>
        <v>B</v>
      </c>
    </row>
    <row r="11" spans="1:10" ht="14.25">
      <c r="A11" s="19"/>
      <c r="C11" s="63"/>
      <c r="E11" s="67">
        <f>$C$2</f>
        <v>1</v>
      </c>
      <c r="F11" s="68" t="s">
        <v>79</v>
      </c>
      <c r="G11" s="69"/>
      <c r="H11" s="69"/>
      <c r="I11" s="69"/>
      <c r="J11" s="70"/>
    </row>
    <row r="12" spans="1:10" ht="14.25">
      <c r="A12" s="20">
        <v>1</v>
      </c>
      <c r="B12" s="41" t="str">
        <f>VLOOKUP($E$11,$E$12:$J$14,2)</f>
        <v>48 - 250 Vdc / 48 - 240 Vac</v>
      </c>
      <c r="C12" s="50"/>
      <c r="E12" s="71">
        <v>1</v>
      </c>
      <c r="F12" s="72" t="str">
        <f>HLOOKUP('Date Drivers'!$A$1,'Date Drivers'!$L$1:$L$106,21)</f>
        <v>48 - 250 Vdc / 48 - 240 Vac</v>
      </c>
      <c r="G12" s="31" t="str">
        <f>HLOOKUP('Date Drivers'!$A$1,'Date Drivers'!$L$1:$L$106,22)</f>
        <v>24 - 250 Vdc / 48 - 240 Vac</v>
      </c>
      <c r="H12" s="31" t="str">
        <f>HLOOKUP('Date Drivers'!$A$1,'Date Drivers'!$L$1:$L$106,23)</f>
        <v> </v>
      </c>
      <c r="I12" s="31" t="str">
        <f>HLOOKUP('Date Drivers'!$A$1,'Date Drivers'!$L$1:$L$106,24)</f>
        <v> </v>
      </c>
      <c r="J12" s="73" t="str">
        <f>HLOOKUP('Date Drivers'!$A$1,'Date Drivers'!$L$1:$L$106,25)</f>
        <v> </v>
      </c>
    </row>
    <row r="13" spans="1:10" ht="14.25">
      <c r="A13" s="20">
        <v>2</v>
      </c>
      <c r="B13" s="41" t="str">
        <f>VLOOKUP($E$11,$E$12:$J$14,3)</f>
        <v>24 - 250 Vdc / 48 - 240 Vac</v>
      </c>
      <c r="C13" s="50"/>
      <c r="E13" s="71">
        <v>2</v>
      </c>
      <c r="F13" s="72" t="str">
        <f>HLOOKUP('Date Drivers'!$A$1,'Date Drivers'!$L$1:$L$106,21)</f>
        <v>48 - 250 Vdc / 48 - 240 Vac</v>
      </c>
      <c r="G13" s="31" t="str">
        <f>HLOOKUP('Date Drivers'!$A$1,'Date Drivers'!$L$1:$L$106,22)</f>
        <v>24 - 250 Vdc / 48 - 240 Vac</v>
      </c>
      <c r="H13" s="31" t="str">
        <f>HLOOKUP('Date Drivers'!$A$1,'Date Drivers'!$L$1:$L$106,23)</f>
        <v> </v>
      </c>
      <c r="I13" s="31" t="str">
        <f>HLOOKUP('Date Drivers'!$A$1,'Date Drivers'!$L$1:$L$106,24)</f>
        <v> </v>
      </c>
      <c r="J13" s="73" t="str">
        <f>HLOOKUP('Date Drivers'!$A$1,'Date Drivers'!$L$1:$L$106,25)</f>
        <v> </v>
      </c>
    </row>
    <row r="14" spans="1:10" ht="14.25">
      <c r="A14" s="20">
        <v>3</v>
      </c>
      <c r="B14" s="41" t="str">
        <f>VLOOKUP($E$11,$E$12:$J$14,4)</f>
        <v> </v>
      </c>
      <c r="C14" s="50"/>
      <c r="E14" s="71">
        <v>3</v>
      </c>
      <c r="F14" s="72" t="str">
        <f>HLOOKUP('Date Drivers'!$A$1,'Date Drivers'!$L$1:$L$106,16)</f>
        <v>24 - 60 Vdc</v>
      </c>
      <c r="G14" s="31" t="str">
        <f>HLOOKUP('Date Drivers'!$A$1,'Date Drivers'!$L$1:$L$106,17)</f>
        <v>48 - 150 Vdc</v>
      </c>
      <c r="H14" s="31" t="str">
        <f>HLOOKUP('Date Drivers'!$A$1,'Date Drivers'!$L$1:$L$106,18)</f>
        <v>125 - 250Vdc / 100 - 250Vac</v>
      </c>
      <c r="I14" s="31" t="str">
        <f>HLOOKUP('Date Drivers'!$A$1,'Date Drivers'!$L$1:$L$106,19)</f>
        <v>130 - 250Vdc / 110 - 250Vac</v>
      </c>
      <c r="J14" s="73" t="str">
        <f>HLOOKUP('Date Drivers'!$A$1,'Date Drivers'!$L$1:$L$106,20)</f>
        <v> </v>
      </c>
    </row>
    <row r="15" spans="1:3" ht="14.25">
      <c r="A15" s="20">
        <v>4</v>
      </c>
      <c r="B15" s="41" t="str">
        <f>VLOOKUP($E$11,$E$12:$J$14,5)</f>
        <v> </v>
      </c>
      <c r="C15" s="50"/>
    </row>
    <row r="16" spans="1:3" ht="14.25">
      <c r="A16" s="24">
        <v>5</v>
      </c>
      <c r="B16" s="41" t="str">
        <f>VLOOKUP($E$11,$E$12:$J$14,6)</f>
        <v> </v>
      </c>
      <c r="C16" s="50"/>
    </row>
    <row r="18" spans="1:6" ht="14.25">
      <c r="A18" s="19"/>
      <c r="C18" s="32"/>
      <c r="E18" s="66" t="str">
        <f>CONCATENATE($C$2,Tendering!$B$12)</f>
        <v>12</v>
      </c>
      <c r="F18" s="47" t="s">
        <v>64</v>
      </c>
    </row>
    <row r="19" spans="1:15" ht="14.25">
      <c r="A19" s="20">
        <v>1</v>
      </c>
      <c r="B19" s="21" t="str">
        <f>VLOOKUP($E$18,$E$19:$Q$40,2,FALSE)</f>
        <v>24 - 250 Vdc / 24 - 240 Vac</v>
      </c>
      <c r="C19" s="4" t="str">
        <f>VLOOKUP($E$18,$E$19:$Q$40,7)</f>
        <v>Z</v>
      </c>
      <c r="E19" s="74" t="s">
        <v>61</v>
      </c>
      <c r="F19" s="31" t="str">
        <f>HLOOKUP('Date Drivers'!$A$1,'Date Drivers'!$L$1:$O$95,85)</f>
        <v>105 - 145 Vdc (специальное применение)</v>
      </c>
      <c r="G19" s="31" t="str">
        <f>HLOOKUP('Date Drivers'!$A$1,'Date Drivers'!$L$1:$O$95,84)</f>
        <v>24 - 250 Vdc ( проверено UK ENA + зажимные винты)</v>
      </c>
      <c r="H19" s="31" t="str">
        <f>HLOOKUP('Date Drivers'!$A$1,'Date Drivers'!$L$1:$O$95,86)</f>
        <v>110 Vdc -30% / +20% (специальное применение) </v>
      </c>
      <c r="I19" s="31" t="str">
        <f>HLOOKUP('Date Drivers'!$A$1,'Date Drivers'!$L$1:$O$95,87)</f>
        <v>220 Vdc -30% / +20% (специальное применение) </v>
      </c>
      <c r="J19" s="79" t="s">
        <v>5</v>
      </c>
      <c r="K19" s="76" t="str">
        <f>HLOOKUP('Date Drivers'!$A$1,'Date Drivers'!$L$1:$O$120,90)</f>
        <v>H</v>
      </c>
      <c r="L19" s="27" t="str">
        <f>HLOOKUP('Date Drivers'!$A$1,'Date Drivers'!$L$1:$O$120,91)</f>
        <v>T</v>
      </c>
      <c r="M19" s="27" t="str">
        <f>HLOOKUP('Date Drivers'!$A$1,'Date Drivers'!$L$1:$O$120,92)</f>
        <v>V</v>
      </c>
      <c r="N19" s="27" t="str">
        <f>HLOOKUP('Date Drivers'!$A$1,'Date Drivers'!$L$1:$O$120,93)</f>
        <v>W</v>
      </c>
      <c r="O19" s="52" t="s">
        <v>2</v>
      </c>
    </row>
    <row r="20" spans="1:15" ht="14.25">
      <c r="A20" s="20">
        <v>2</v>
      </c>
      <c r="B20" s="21" t="str">
        <f>VLOOKUP($E$18,$E$19:$Q$40,3,FALSE)</f>
        <v> </v>
      </c>
      <c r="C20" s="4" t="str">
        <f>VLOOKUP($E$18,$E$19:$Q$40,8)</f>
        <v>*</v>
      </c>
      <c r="E20" s="74" t="s">
        <v>42</v>
      </c>
      <c r="F20" s="31" t="str">
        <f>HLOOKUP('Date Drivers'!$A$1,'Date Drivers'!$L$1:$O$95,88)</f>
        <v>24 - 250 Vdc / 24 - 240 Vac</v>
      </c>
      <c r="G20" s="30" t="s">
        <v>5</v>
      </c>
      <c r="H20" s="30" t="s">
        <v>5</v>
      </c>
      <c r="I20" s="30" t="s">
        <v>5</v>
      </c>
      <c r="J20" s="79" t="s">
        <v>5</v>
      </c>
      <c r="K20" s="27" t="str">
        <f>HLOOKUP('Date Drivers'!$A$1,'Date Drivers'!$L$1:$O$120,94)</f>
        <v>Z</v>
      </c>
      <c r="L20" s="51" t="s">
        <v>2</v>
      </c>
      <c r="M20" s="51" t="s">
        <v>2</v>
      </c>
      <c r="N20" s="51" t="s">
        <v>2</v>
      </c>
      <c r="O20" s="52" t="s">
        <v>2</v>
      </c>
    </row>
    <row r="21" spans="1:15" ht="14.25">
      <c r="A21" s="20">
        <v>3</v>
      </c>
      <c r="B21" s="21" t="str">
        <f>VLOOKUP($E$18,$E$19:$Q$40,4,FALSE)</f>
        <v> </v>
      </c>
      <c r="C21" s="4" t="str">
        <f>VLOOKUP($E$18,$E$19:$Q$40,9)</f>
        <v>*</v>
      </c>
      <c r="E21" s="74" t="s">
        <v>43</v>
      </c>
      <c r="F21" s="53" t="s">
        <v>44</v>
      </c>
      <c r="G21" s="30" t="s">
        <v>5</v>
      </c>
      <c r="H21" s="30" t="s">
        <v>5</v>
      </c>
      <c r="I21" s="30" t="s">
        <v>5</v>
      </c>
      <c r="J21" s="79" t="s">
        <v>5</v>
      </c>
      <c r="K21" s="54" t="s">
        <v>2</v>
      </c>
      <c r="L21" s="51" t="s">
        <v>2</v>
      </c>
      <c r="M21" s="51" t="s">
        <v>2</v>
      </c>
      <c r="N21" s="51" t="s">
        <v>2</v>
      </c>
      <c r="O21" s="52" t="s">
        <v>2</v>
      </c>
    </row>
    <row r="22" spans="1:15" ht="14.25">
      <c r="A22" s="20">
        <v>4</v>
      </c>
      <c r="B22" s="21" t="str">
        <f>VLOOKUP($E$18,$E$19:$Q$40,5,FALSE)</f>
        <v> </v>
      </c>
      <c r="C22" s="4" t="str">
        <f>VLOOKUP($E$18,$E$19:$Q$40,10)</f>
        <v>*</v>
      </c>
      <c r="E22" s="77" t="s">
        <v>62</v>
      </c>
      <c r="F22" s="53" t="s">
        <v>44</v>
      </c>
      <c r="G22" s="30" t="s">
        <v>5</v>
      </c>
      <c r="H22" s="30" t="s">
        <v>5</v>
      </c>
      <c r="I22" s="30" t="s">
        <v>5</v>
      </c>
      <c r="J22" s="79" t="s">
        <v>5</v>
      </c>
      <c r="K22" s="54" t="s">
        <v>2</v>
      </c>
      <c r="L22" s="51" t="s">
        <v>2</v>
      </c>
      <c r="M22" s="51" t="s">
        <v>2</v>
      </c>
      <c r="N22" s="51" t="s">
        <v>2</v>
      </c>
      <c r="O22" s="52" t="s">
        <v>2</v>
      </c>
    </row>
    <row r="23" spans="1:15" ht="14.25">
      <c r="A23" s="24">
        <v>5</v>
      </c>
      <c r="B23" s="25" t="str">
        <f>VLOOKUP($E$18,$E$19:$Q$40,6)</f>
        <v> </v>
      </c>
      <c r="C23" s="26" t="str">
        <f>VLOOKUP($E$18,$E$19:$Q$40,11)</f>
        <v>*</v>
      </c>
      <c r="E23" s="74" t="s">
        <v>63</v>
      </c>
      <c r="F23" s="53" t="s">
        <v>44</v>
      </c>
      <c r="G23" s="30" t="s">
        <v>5</v>
      </c>
      <c r="H23" s="30" t="s">
        <v>5</v>
      </c>
      <c r="I23" s="30" t="s">
        <v>5</v>
      </c>
      <c r="J23" s="79" t="s">
        <v>5</v>
      </c>
      <c r="K23" s="54" t="s">
        <v>2</v>
      </c>
      <c r="L23" s="51" t="s">
        <v>2</v>
      </c>
      <c r="M23" s="51" t="s">
        <v>2</v>
      </c>
      <c r="N23" s="51" t="s">
        <v>2</v>
      </c>
      <c r="O23" s="52" t="s">
        <v>2</v>
      </c>
    </row>
    <row r="24" spans="5:15" ht="14.25">
      <c r="E24" s="74" t="s">
        <v>65</v>
      </c>
      <c r="F24" s="31" t="str">
        <f>HLOOKUP('Date Drivers'!$A$1,'Date Drivers'!$L$1:$O$95,85)</f>
        <v>105 - 145 Vdc (специальное применение)</v>
      </c>
      <c r="G24" s="31" t="str">
        <f>HLOOKUP('Date Drivers'!$A$1,'Date Drivers'!$L$1:$O$95,84)</f>
        <v>24 - 250 Vdc ( проверено UK ENA + зажимные винты)</v>
      </c>
      <c r="H24" s="31" t="str">
        <f>HLOOKUP('Date Drivers'!$A$1,'Date Drivers'!$L$1:$O$95,86)</f>
        <v>110 Vdc -30% / +20% (специальное применение) </v>
      </c>
      <c r="I24" s="31" t="str">
        <f>HLOOKUP('Date Drivers'!$A$1,'Date Drivers'!$L$1:$O$95,87)</f>
        <v>220 Vdc -30% / +20% (специальное применение) </v>
      </c>
      <c r="J24" s="79" t="s">
        <v>5</v>
      </c>
      <c r="K24" s="76" t="str">
        <f>HLOOKUP('Date Drivers'!$A$1,'Date Drivers'!$L$1:$O$120,90)</f>
        <v>H</v>
      </c>
      <c r="L24" s="27" t="str">
        <f>HLOOKUP('Date Drivers'!$A$1,'Date Drivers'!$L$1:$O$120,91)</f>
        <v>T</v>
      </c>
      <c r="M24" s="27" t="str">
        <f>HLOOKUP('Date Drivers'!$A$1,'Date Drivers'!$L$1:$O$120,92)</f>
        <v>V</v>
      </c>
      <c r="N24" s="27" t="str">
        <f>HLOOKUP('Date Drivers'!$A$1,'Date Drivers'!$L$1:$O$120,93)</f>
        <v>W</v>
      </c>
      <c r="O24" s="52" t="s">
        <v>2</v>
      </c>
    </row>
    <row r="25" spans="5:15" ht="14.25">
      <c r="E25" s="74" t="s">
        <v>66</v>
      </c>
      <c r="F25" s="31" t="str">
        <f>HLOOKUP('Date Drivers'!$A$1,'Date Drivers'!$L$1:$O$95,88)</f>
        <v>24 - 250 Vdc / 24 - 240 Vac</v>
      </c>
      <c r="G25" s="30" t="s">
        <v>5</v>
      </c>
      <c r="H25" s="30" t="s">
        <v>5</v>
      </c>
      <c r="I25" s="30" t="s">
        <v>5</v>
      </c>
      <c r="J25" s="79" t="s">
        <v>5</v>
      </c>
      <c r="K25" s="27" t="str">
        <f>HLOOKUP('Date Drivers'!$A$1,'Date Drivers'!$L$1:$O$120,94)</f>
        <v>Z</v>
      </c>
      <c r="L25" s="51" t="s">
        <v>2</v>
      </c>
      <c r="M25" s="51" t="s">
        <v>2</v>
      </c>
      <c r="N25" s="51" t="s">
        <v>2</v>
      </c>
      <c r="O25" s="52" t="s">
        <v>2</v>
      </c>
    </row>
    <row r="26" spans="1:15" ht="14.25">
      <c r="A26" s="19"/>
      <c r="C26" s="32"/>
      <c r="E26" s="74" t="s">
        <v>67</v>
      </c>
      <c r="F26" s="53" t="s">
        <v>44</v>
      </c>
      <c r="G26" s="30" t="s">
        <v>5</v>
      </c>
      <c r="H26" s="30" t="s">
        <v>5</v>
      </c>
      <c r="I26" s="30" t="s">
        <v>5</v>
      </c>
      <c r="J26" s="79" t="s">
        <v>5</v>
      </c>
      <c r="K26" s="54" t="s">
        <v>2</v>
      </c>
      <c r="L26" s="51" t="s">
        <v>2</v>
      </c>
      <c r="M26" s="51" t="s">
        <v>2</v>
      </c>
      <c r="N26" s="51" t="s">
        <v>2</v>
      </c>
      <c r="O26" s="52" t="s">
        <v>2</v>
      </c>
    </row>
    <row r="27" spans="1:15" ht="14.25">
      <c r="A27" s="20">
        <v>1</v>
      </c>
      <c r="B27" s="21" t="str">
        <f>HLOOKUP('Date Drivers'!$A$1,'Date Drivers'!$L$1:$L$98,26)</f>
        <v>MODBUS</v>
      </c>
      <c r="C27" s="4">
        <f>HLOOKUP('Date Drivers'!$A$1,'Date Drivers'!$L$1:$L$98,30)</f>
        <v>1</v>
      </c>
      <c r="E27" s="77" t="s">
        <v>68</v>
      </c>
      <c r="F27" s="53" t="s">
        <v>44</v>
      </c>
      <c r="G27" s="30" t="s">
        <v>5</v>
      </c>
      <c r="H27" s="30" t="s">
        <v>5</v>
      </c>
      <c r="I27" s="30" t="s">
        <v>5</v>
      </c>
      <c r="J27" s="79" t="s">
        <v>5</v>
      </c>
      <c r="K27" s="54" t="s">
        <v>2</v>
      </c>
      <c r="L27" s="51" t="s">
        <v>2</v>
      </c>
      <c r="M27" s="51" t="s">
        <v>2</v>
      </c>
      <c r="N27" s="51" t="s">
        <v>2</v>
      </c>
      <c r="O27" s="52" t="s">
        <v>2</v>
      </c>
    </row>
    <row r="28" spans="1:15" ht="14.25">
      <c r="A28" s="20">
        <v>2</v>
      </c>
      <c r="B28" s="21" t="str">
        <f>HLOOKUP('Date Drivers'!$A$1,'Date Drivers'!$L$1:$L$98,27)</f>
        <v>KBUS / COURIER</v>
      </c>
      <c r="C28" s="4">
        <f>HLOOKUP('Date Drivers'!$A$1,'Date Drivers'!$L$1:$L$98,31)</f>
        <v>2</v>
      </c>
      <c r="E28" s="74" t="s">
        <v>69</v>
      </c>
      <c r="F28" s="53" t="s">
        <v>44</v>
      </c>
      <c r="G28" s="30" t="s">
        <v>5</v>
      </c>
      <c r="H28" s="30" t="s">
        <v>5</v>
      </c>
      <c r="I28" s="30" t="s">
        <v>5</v>
      </c>
      <c r="J28" s="79" t="s">
        <v>5</v>
      </c>
      <c r="K28" s="54" t="s">
        <v>2</v>
      </c>
      <c r="L28" s="51" t="s">
        <v>2</v>
      </c>
      <c r="M28" s="51" t="s">
        <v>2</v>
      </c>
      <c r="N28" s="51" t="s">
        <v>2</v>
      </c>
      <c r="O28" s="52" t="s">
        <v>2</v>
      </c>
    </row>
    <row r="29" spans="1:15" ht="14.25">
      <c r="A29" s="20">
        <v>3</v>
      </c>
      <c r="B29" s="21" t="str">
        <f>HLOOKUP('Date Drivers'!$A$1,'Date Drivers'!$L$1:$L$98,28)</f>
        <v>IEC 60870-5-103</v>
      </c>
      <c r="C29" s="4">
        <f>HLOOKUP('Date Drivers'!$A$1,'Date Drivers'!$L$1:$L$98,32)</f>
        <v>3</v>
      </c>
      <c r="E29" s="74" t="s">
        <v>70</v>
      </c>
      <c r="F29" s="31" t="str">
        <f>HLOOKUP('Date Drivers'!$A$1,'Date Drivers'!$L$1:$O$95,68)</f>
        <v>24 - 60 Vdc</v>
      </c>
      <c r="G29" s="29" t="s">
        <v>5</v>
      </c>
      <c r="H29" s="29" t="s">
        <v>5</v>
      </c>
      <c r="I29" s="29" t="s">
        <v>5</v>
      </c>
      <c r="J29" s="78" t="s">
        <v>5</v>
      </c>
      <c r="K29" s="75" t="str">
        <f>HLOOKUP('Date Drivers'!$A$1,'Date Drivers'!$L$1:$O$95,76)</f>
        <v>A</v>
      </c>
      <c r="L29" s="48" t="s">
        <v>2</v>
      </c>
      <c r="M29" s="48" t="s">
        <v>2</v>
      </c>
      <c r="N29" s="48" t="s">
        <v>2</v>
      </c>
      <c r="O29" s="49" t="s">
        <v>2</v>
      </c>
    </row>
    <row r="30" spans="1:15" ht="14.25">
      <c r="A30" s="24">
        <v>4</v>
      </c>
      <c r="B30" s="25" t="str">
        <f>HLOOKUP('Date Drivers'!$A$1,'Date Drivers'!$L$1:$L$98,29)</f>
        <v>DNP3</v>
      </c>
      <c r="C30" s="26">
        <f>HLOOKUP('Date Drivers'!$A$1,'Date Drivers'!$L$1:$L$98,33)</f>
        <v>4</v>
      </c>
      <c r="E30" s="74" t="s">
        <v>71</v>
      </c>
      <c r="F30" s="31" t="str">
        <f>HLOOKUP('Date Drivers'!$A$1,'Date Drivers'!$L$1:$O$95,69)</f>
        <v>48 - 150 Vdc</v>
      </c>
      <c r="G30" s="31" t="str">
        <f>HLOOKUP('Date Drivers'!$A$1,'Date Drivers'!$L$1:$O$95,72)</f>
        <v>48 - 150 Vdc (UK ENA Approved + Screws)</v>
      </c>
      <c r="H30" s="31" t="str">
        <f>HLOOKUP('Date Drivers'!$A$1,'Date Drivers'!$L$1:$O$95,74)</f>
        <v> </v>
      </c>
      <c r="I30" s="29" t="s">
        <v>5</v>
      </c>
      <c r="J30" s="78" t="s">
        <v>5</v>
      </c>
      <c r="K30" s="76" t="str">
        <f>HLOOKUP('Date Drivers'!$A$1,'Date Drivers'!$L$1:$O$95,77)</f>
        <v>F</v>
      </c>
      <c r="L30" s="27" t="str">
        <f>HLOOKUP('Date Drivers'!$A$1,'Date Drivers'!$L$1:$O$95,80)</f>
        <v>T</v>
      </c>
      <c r="M30" s="51" t="s">
        <v>2</v>
      </c>
      <c r="N30" s="51" t="s">
        <v>2</v>
      </c>
      <c r="O30" s="52" t="s">
        <v>2</v>
      </c>
    </row>
    <row r="31" spans="5:15" ht="14.25">
      <c r="E31" s="74" t="s">
        <v>72</v>
      </c>
      <c r="F31" s="31" t="str">
        <f>HLOOKUP('Date Drivers'!$A$1,'Date Drivers'!$L$1:$O$95,70)</f>
        <v>105 - 145 Vdc (специальное применение)</v>
      </c>
      <c r="G31" s="30" t="s">
        <v>5</v>
      </c>
      <c r="H31" s="30" t="s">
        <v>5</v>
      </c>
      <c r="I31" s="30" t="s">
        <v>5</v>
      </c>
      <c r="J31" s="79" t="s">
        <v>5</v>
      </c>
      <c r="K31" s="76" t="str">
        <f>HLOOKUP('Date Drivers'!$A$1,'Date Drivers'!$L$1:$O$95,78)</f>
        <v>H</v>
      </c>
      <c r="L31" s="51" t="s">
        <v>2</v>
      </c>
      <c r="M31" s="51" t="s">
        <v>2</v>
      </c>
      <c r="N31" s="51" t="s">
        <v>2</v>
      </c>
      <c r="O31" s="52" t="s">
        <v>2</v>
      </c>
    </row>
    <row r="32" spans="5:15" ht="14.25">
      <c r="E32" s="77" t="s">
        <v>73</v>
      </c>
      <c r="F32" s="31" t="str">
        <f>HLOOKUP('Date Drivers'!$A$1,'Date Drivers'!$L$1:$O$95,71)</f>
        <v>48 - 250 Vdc / 48 - 250 Vac</v>
      </c>
      <c r="G32" s="31" t="str">
        <f>HLOOKUP('Date Drivers'!$A$1,'Date Drivers'!$L$1:$O$95,73)</f>
        <v>48 - 250 Vdc (UK ENA Approved + Screws)</v>
      </c>
      <c r="H32" s="31" t="str">
        <f>HLOOKUP('Date Drivers'!$A$1,'Date Drivers'!$L$1:$O$95,75)</f>
        <v> </v>
      </c>
      <c r="I32" s="30" t="s">
        <v>5</v>
      </c>
      <c r="J32" s="79" t="s">
        <v>5</v>
      </c>
      <c r="K32" s="76" t="str">
        <f>HLOOKUP('Date Drivers'!$A$1,'Date Drivers'!$L$1:$O$95,79)</f>
        <v>M</v>
      </c>
      <c r="L32" s="27" t="str">
        <f>HLOOKUP('Date Drivers'!$A$1,'Date Drivers'!$L$1:$O$95,81)</f>
        <v>U</v>
      </c>
      <c r="M32" s="51" t="s">
        <v>2</v>
      </c>
      <c r="N32" s="51" t="s">
        <v>2</v>
      </c>
      <c r="O32" s="52" t="s">
        <v>2</v>
      </c>
    </row>
    <row r="33" spans="5:15" ht="14.25">
      <c r="E33" s="74" t="s">
        <v>74</v>
      </c>
      <c r="F33" s="53" t="s">
        <v>44</v>
      </c>
      <c r="G33" s="30" t="s">
        <v>5</v>
      </c>
      <c r="H33" s="30" t="s">
        <v>5</v>
      </c>
      <c r="I33" s="30" t="s">
        <v>5</v>
      </c>
      <c r="J33" s="79" t="s">
        <v>5</v>
      </c>
      <c r="K33" s="55" t="s">
        <v>2</v>
      </c>
      <c r="L33" s="56" t="s">
        <v>2</v>
      </c>
      <c r="M33" s="56" t="s">
        <v>2</v>
      </c>
      <c r="N33" s="56" t="s">
        <v>2</v>
      </c>
      <c r="O33" s="57" t="s">
        <v>2</v>
      </c>
    </row>
    <row r="34" spans="5:15" ht="14.25">
      <c r="E34" s="45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4.25">
      <c r="A35" s="19"/>
      <c r="C35" s="32"/>
      <c r="E35" s="45"/>
      <c r="F35" s="58"/>
      <c r="G35" s="40"/>
      <c r="H35" s="40"/>
      <c r="I35" s="40"/>
      <c r="J35" s="40"/>
      <c r="K35" s="59"/>
      <c r="L35" s="59"/>
      <c r="M35" s="59"/>
      <c r="N35" s="59"/>
      <c r="O35" s="59"/>
    </row>
    <row r="36" spans="1:15" ht="14.25">
      <c r="A36" s="20">
        <v>1</v>
      </c>
      <c r="B36" s="27" t="s">
        <v>200</v>
      </c>
      <c r="C36" s="4">
        <v>0</v>
      </c>
      <c r="E36" s="45"/>
      <c r="F36" s="58"/>
      <c r="G36" s="40"/>
      <c r="H36" s="40"/>
      <c r="I36" s="40"/>
      <c r="J36" s="40"/>
      <c r="K36" s="59"/>
      <c r="L36" s="59"/>
      <c r="M36" s="59"/>
      <c r="N36" s="59"/>
      <c r="O36" s="59"/>
    </row>
    <row r="37" spans="1:15" ht="14.25">
      <c r="A37" s="20">
        <v>2</v>
      </c>
      <c r="B37" s="27" t="s">
        <v>199</v>
      </c>
      <c r="C37" s="4">
        <v>1</v>
      </c>
      <c r="E37" s="45"/>
      <c r="F37" s="58"/>
      <c r="G37" s="40"/>
      <c r="H37" s="40"/>
      <c r="I37" s="40"/>
      <c r="J37" s="40"/>
      <c r="K37" s="59"/>
      <c r="L37" s="59"/>
      <c r="M37" s="59"/>
      <c r="N37" s="59"/>
      <c r="O37" s="59"/>
    </row>
    <row r="38" spans="1:15" ht="14.25">
      <c r="A38" s="20">
        <v>3</v>
      </c>
      <c r="B38" s="27" t="s">
        <v>198</v>
      </c>
      <c r="C38" s="4">
        <v>2</v>
      </c>
      <c r="E38" s="45"/>
      <c r="F38" s="44"/>
      <c r="G38" s="45"/>
      <c r="H38" s="45"/>
      <c r="I38" s="45"/>
      <c r="J38" s="45"/>
      <c r="K38" s="44"/>
      <c r="L38" s="59"/>
      <c r="M38" s="59"/>
      <c r="N38" s="59"/>
      <c r="O38" s="59"/>
    </row>
    <row r="39" spans="1:15" ht="14.25">
      <c r="A39" s="20">
        <v>4</v>
      </c>
      <c r="B39" s="27" t="s">
        <v>197</v>
      </c>
      <c r="C39" s="4">
        <v>3</v>
      </c>
      <c r="E39" s="45"/>
      <c r="F39" s="44"/>
      <c r="G39" s="44"/>
      <c r="H39" s="44"/>
      <c r="I39" s="45"/>
      <c r="J39" s="45"/>
      <c r="K39" s="44"/>
      <c r="L39" s="44"/>
      <c r="M39" s="44"/>
      <c r="N39" s="44"/>
      <c r="O39" s="44"/>
    </row>
    <row r="40" spans="1:15" ht="14.25">
      <c r="A40" s="20">
        <v>5</v>
      </c>
      <c r="B40" s="27" t="s">
        <v>196</v>
      </c>
      <c r="C40" s="4">
        <v>4</v>
      </c>
      <c r="E40" s="45"/>
      <c r="F40" s="44"/>
      <c r="G40" s="44"/>
      <c r="H40" s="44"/>
      <c r="I40" s="45"/>
      <c r="J40" s="45"/>
      <c r="K40" s="44"/>
      <c r="O40" s="40"/>
    </row>
    <row r="41" spans="1:15" ht="14.25">
      <c r="A41" s="20">
        <v>6</v>
      </c>
      <c r="B41" s="27" t="s">
        <v>195</v>
      </c>
      <c r="C41" s="4">
        <v>5</v>
      </c>
      <c r="E41" s="45"/>
      <c r="F41" s="44"/>
      <c r="G41" s="44"/>
      <c r="H41" s="44"/>
      <c r="I41" s="45"/>
      <c r="J41" s="45"/>
      <c r="K41" s="44"/>
      <c r="L41" s="44"/>
      <c r="M41" s="44"/>
      <c r="N41" s="40"/>
      <c r="O41" s="40"/>
    </row>
    <row r="42" spans="1:15" ht="14.25">
      <c r="A42" s="20">
        <v>7</v>
      </c>
      <c r="B42" s="27" t="s">
        <v>194</v>
      </c>
      <c r="C42" s="4">
        <v>6</v>
      </c>
      <c r="E42" s="45"/>
      <c r="F42" s="44"/>
      <c r="G42" s="44"/>
      <c r="H42" s="44"/>
      <c r="I42" s="45"/>
      <c r="J42" s="45"/>
      <c r="K42" s="44"/>
      <c r="L42" s="44"/>
      <c r="M42" s="44"/>
      <c r="N42" s="40"/>
      <c r="O42" s="40"/>
    </row>
    <row r="43" spans="1:3" ht="14.25">
      <c r="A43" s="20">
        <v>8</v>
      </c>
      <c r="B43" s="27" t="s">
        <v>193</v>
      </c>
      <c r="C43" s="4">
        <v>7</v>
      </c>
    </row>
    <row r="44" spans="1:3" ht="14.25">
      <c r="A44" s="20">
        <v>9</v>
      </c>
      <c r="B44" s="27" t="s">
        <v>192</v>
      </c>
      <c r="C44" s="4">
        <v>8</v>
      </c>
    </row>
    <row r="45" spans="1:3" ht="14.25">
      <c r="A45" s="20">
        <v>10</v>
      </c>
      <c r="B45" s="27" t="s">
        <v>191</v>
      </c>
      <c r="C45" s="4" t="s">
        <v>0</v>
      </c>
    </row>
    <row r="46" spans="1:3" ht="14.25">
      <c r="A46" s="24">
        <v>11</v>
      </c>
      <c r="B46" s="28" t="str">
        <f>IF(Configurator!$B$10="H"," ","Китайский")</f>
        <v>Китайский</v>
      </c>
      <c r="C46" s="28" t="str">
        <f>IF(Configurator!$B$10="H","A","D")</f>
        <v>D</v>
      </c>
    </row>
    <row r="48" spans="1:6" ht="14.25">
      <c r="A48" s="19"/>
      <c r="C48" s="32"/>
      <c r="F48" s="167" t="s">
        <v>150</v>
      </c>
    </row>
    <row r="49" spans="1:6" ht="14.25">
      <c r="A49" s="283">
        <v>1</v>
      </c>
      <c r="B49" s="284" t="s">
        <v>227</v>
      </c>
      <c r="C49" s="280" t="s">
        <v>149</v>
      </c>
      <c r="D49" s="280" t="s">
        <v>28</v>
      </c>
      <c r="E49" s="281" t="s">
        <v>32</v>
      </c>
      <c r="F49" s="167" t="s">
        <v>151</v>
      </c>
    </row>
    <row r="50" spans="1:6" ht="14.25">
      <c r="A50" s="283">
        <v>2</v>
      </c>
      <c r="B50" s="284" t="s">
        <v>219</v>
      </c>
      <c r="C50" s="280" t="s">
        <v>149</v>
      </c>
      <c r="D50" s="280" t="s">
        <v>28</v>
      </c>
      <c r="E50" s="281" t="s">
        <v>28</v>
      </c>
      <c r="F50" s="167" t="s">
        <v>151</v>
      </c>
    </row>
    <row r="51" spans="1:6" ht="14.25">
      <c r="A51" s="20">
        <v>3</v>
      </c>
      <c r="B51" s="285" t="str">
        <f>IF(Configurator!$B$14="D"," ","Версия программного обеспечения V12.A")</f>
        <v>Версия программного обеспечения V12.A</v>
      </c>
      <c r="C51" s="282" t="s">
        <v>149</v>
      </c>
      <c r="D51" s="282" t="s">
        <v>28</v>
      </c>
      <c r="E51" s="286" t="str">
        <f>IF(Configurator!$B$14="D","C","A")</f>
        <v>A</v>
      </c>
      <c r="F51" s="167" t="s">
        <v>151</v>
      </c>
    </row>
    <row r="52" spans="1:6" ht="14.25">
      <c r="A52" s="20">
        <v>4</v>
      </c>
      <c r="B52" s="285" t="str">
        <f>IF(Configurator!$B$14="D"," ","Версия программного обеспечения V11.D")</f>
        <v>Версия программного обеспечения V11.D</v>
      </c>
      <c r="C52" s="287" t="str">
        <f>IF(Configurator!$B$14="D","V12.","V11.")</f>
        <v>V11.</v>
      </c>
      <c r="D52" s="287" t="str">
        <f>IF(Configurator!$B$14="D","C","B")</f>
        <v>B</v>
      </c>
      <c r="E52" s="286" t="str">
        <f>IF(Configurator!$B$14="D","C","D")</f>
        <v>D</v>
      </c>
      <c r="F52" s="167" t="s">
        <v>151</v>
      </c>
    </row>
    <row r="53" spans="1:6" ht="14.25">
      <c r="A53" s="24">
        <v>5</v>
      </c>
      <c r="B53" s="288" t="str">
        <f>IF(Configurator!$B$14="D"," ","Версия программного обеспечения V10.G")</f>
        <v>Версия программного обеспечения V10.G</v>
      </c>
      <c r="C53" s="289" t="str">
        <f>IF(Configurator!$B$14="D","V12.","V10.")</f>
        <v>V10.</v>
      </c>
      <c r="D53" s="289" t="str">
        <f>IF(Configurator!$B$14="D","C","A")</f>
        <v>A</v>
      </c>
      <c r="E53" s="290" t="str">
        <f>IF(Configurator!$B$14="D","C","G")</f>
        <v>G</v>
      </c>
      <c r="F53" s="167" t="s">
        <v>151</v>
      </c>
    </row>
    <row r="55" spans="1:6" ht="14.25">
      <c r="A55" s="20">
        <v>6</v>
      </c>
      <c r="B55" s="90" t="s">
        <v>220</v>
      </c>
      <c r="C55" s="27" t="s">
        <v>147</v>
      </c>
      <c r="D55" s="27" t="s">
        <v>18</v>
      </c>
      <c r="E55" s="4" t="s">
        <v>18</v>
      </c>
      <c r="F55" s="168" t="s">
        <v>152</v>
      </c>
    </row>
    <row r="56" spans="1:6" ht="14.25">
      <c r="A56" s="20">
        <v>7</v>
      </c>
      <c r="B56" s="285" t="str">
        <f>IF(Configurator!$B$14="D"," ","Версия программного обеспечения V10.I")</f>
        <v>Версия программного обеспечения V10.I</v>
      </c>
      <c r="C56" s="287" t="str">
        <f>IF(Configurator!$B$14="D","V12.","V10.")</f>
        <v>V10.</v>
      </c>
      <c r="D56" s="287" t="str">
        <f>IF(Configurator!$B$14="D","C","A")</f>
        <v>A</v>
      </c>
      <c r="E56" s="286" t="str">
        <f>IF(Configurator!$B$14="D","C","I")</f>
        <v>I</v>
      </c>
      <c r="F56" s="291" t="s">
        <v>172</v>
      </c>
    </row>
    <row r="57" spans="1:6" ht="14.25">
      <c r="A57" s="20">
        <v>8</v>
      </c>
      <c r="B57" s="90" t="s">
        <v>221</v>
      </c>
      <c r="C57" s="27" t="s">
        <v>52</v>
      </c>
      <c r="D57" s="27" t="s">
        <v>0</v>
      </c>
      <c r="E57" s="4" t="s">
        <v>31</v>
      </c>
      <c r="F57" s="168" t="s">
        <v>152</v>
      </c>
    </row>
    <row r="58" spans="1:6" ht="14.25">
      <c r="A58" s="20">
        <v>9</v>
      </c>
      <c r="B58" s="90" t="str">
        <f>IF(Tendering!$B$15=8," ","Версия программного обеспечения V10.F")</f>
        <v>Версия программного обеспечения V10.F</v>
      </c>
      <c r="C58" s="27" t="s">
        <v>52</v>
      </c>
      <c r="D58" s="27" t="s">
        <v>0</v>
      </c>
      <c r="E58" s="4" t="str">
        <f>IF(Tendering!$B$15=8,"G","F")</f>
        <v>F</v>
      </c>
      <c r="F58" s="168" t="s">
        <v>152</v>
      </c>
    </row>
    <row r="59" spans="1:6" ht="14.25">
      <c r="A59" s="20">
        <v>10</v>
      </c>
      <c r="B59" s="90" t="str">
        <f>IF(Tendering!$B$15=8," ","Версия программного обеспечения V10.E")</f>
        <v>Версия программного обеспечения V10.E</v>
      </c>
      <c r="C59" s="27" t="s">
        <v>52</v>
      </c>
      <c r="D59" s="27" t="s">
        <v>0</v>
      </c>
      <c r="E59" s="4" t="str">
        <f>IF(Tendering!$B$15=8,"G","E")</f>
        <v>E</v>
      </c>
      <c r="F59" s="168" t="s">
        <v>152</v>
      </c>
    </row>
    <row r="60" spans="1:6" ht="14.25">
      <c r="A60" s="20">
        <v>11</v>
      </c>
      <c r="B60" s="133" t="str">
        <f>IF(Tendering!$B$15=8," ","Версия программного обеспечения V10.D")</f>
        <v>Версия программного обеспечения V10.D</v>
      </c>
      <c r="C60" s="28" t="str">
        <f>VLOOKUP($C$2,$A$3:$BE$5,55)</f>
        <v>V10.</v>
      </c>
      <c r="D60" s="28" t="str">
        <f>VLOOKUP($C$2,$A$3:$BE$5,56)</f>
        <v>A</v>
      </c>
      <c r="E60" s="26" t="str">
        <f>IF(Tendering!$B$15=8,"G","D")</f>
        <v>D</v>
      </c>
      <c r="F60" s="168" t="s">
        <v>152</v>
      </c>
    </row>
    <row r="62" spans="1:2" ht="15">
      <c r="A62" s="19"/>
      <c r="B62" s="61" t="str">
        <f>CONCATENATE(Configurator!$G$5,Configurator!$J$5)</f>
        <v>Z2</v>
      </c>
    </row>
    <row r="63" spans="1:2" ht="14.25">
      <c r="A63" s="2" t="s">
        <v>88</v>
      </c>
      <c r="B63" s="85" t="s">
        <v>5</v>
      </c>
    </row>
    <row r="64" spans="1:2" ht="14.25">
      <c r="A64" s="3" t="s">
        <v>89</v>
      </c>
      <c r="B64" s="86" t="s">
        <v>5</v>
      </c>
    </row>
    <row r="65" spans="1:2" ht="14.25">
      <c r="A65" s="3" t="s">
        <v>90</v>
      </c>
      <c r="B65" s="86" t="s">
        <v>5</v>
      </c>
    </row>
    <row r="66" spans="1:2" ht="14.25">
      <c r="A66" s="3" t="s">
        <v>91</v>
      </c>
      <c r="B66" s="86" t="s">
        <v>5</v>
      </c>
    </row>
    <row r="67" spans="1:2" ht="14.25">
      <c r="A67" s="3" t="s">
        <v>92</v>
      </c>
      <c r="B67" s="86" t="s">
        <v>5</v>
      </c>
    </row>
    <row r="68" spans="1:2" ht="14.25">
      <c r="A68" s="3" t="s">
        <v>93</v>
      </c>
      <c r="B68" s="86" t="s">
        <v>5</v>
      </c>
    </row>
    <row r="69" spans="1:2" ht="14.25">
      <c r="A69" s="3" t="s">
        <v>97</v>
      </c>
      <c r="B69" s="3" t="s">
        <v>99</v>
      </c>
    </row>
    <row r="70" spans="1:2" ht="14.25">
      <c r="A70" s="3" t="s">
        <v>94</v>
      </c>
      <c r="B70" s="3" t="s">
        <v>96</v>
      </c>
    </row>
    <row r="71" spans="1:2" ht="14.25">
      <c r="A71" s="3" t="s">
        <v>98</v>
      </c>
      <c r="B71" s="3" t="s">
        <v>99</v>
      </c>
    </row>
    <row r="72" spans="1:2" ht="14.25">
      <c r="A72" s="84" t="s">
        <v>95</v>
      </c>
      <c r="B72" s="84" t="s">
        <v>96</v>
      </c>
    </row>
    <row r="74" spans="1:9" ht="15">
      <c r="A74" s="134"/>
      <c r="B74" s="135" t="str">
        <f>CONCATENATE(Configurator!$G$5,Configurator!$J$5)</f>
        <v>Z2</v>
      </c>
      <c r="C74" s="136"/>
      <c r="D74" s="137"/>
      <c r="E74" s="137"/>
      <c r="F74" s="137"/>
      <c r="G74" s="137"/>
      <c r="H74" s="137"/>
      <c r="I74" s="137"/>
    </row>
    <row r="75" spans="1:9" ht="14.25">
      <c r="A75" s="138" t="s">
        <v>144</v>
      </c>
      <c r="B75" s="139" t="s">
        <v>5</v>
      </c>
      <c r="C75" s="139" t="s">
        <v>5</v>
      </c>
      <c r="D75" s="139" t="s">
        <v>5</v>
      </c>
      <c r="E75" s="139" t="s">
        <v>5</v>
      </c>
      <c r="F75" s="139" t="s">
        <v>5</v>
      </c>
      <c r="G75" s="139" t="s">
        <v>5</v>
      </c>
      <c r="H75" s="139" t="s">
        <v>5</v>
      </c>
      <c r="I75" s="139" t="s">
        <v>5</v>
      </c>
    </row>
    <row r="76" spans="1:9" ht="14.25">
      <c r="A76" s="140" t="s">
        <v>145</v>
      </c>
      <c r="B76" s="141" t="s">
        <v>3</v>
      </c>
      <c r="C76" s="141" t="s">
        <v>3</v>
      </c>
      <c r="D76" s="141" t="s">
        <v>3</v>
      </c>
      <c r="E76" s="141" t="s">
        <v>3</v>
      </c>
      <c r="F76" s="141" t="s">
        <v>3</v>
      </c>
      <c r="G76" s="141" t="s">
        <v>3</v>
      </c>
      <c r="H76" s="141" t="s">
        <v>3</v>
      </c>
      <c r="I76" s="141" t="s">
        <v>3</v>
      </c>
    </row>
    <row r="77" spans="1:9" ht="14.25">
      <c r="A77" s="142" t="s">
        <v>88</v>
      </c>
      <c r="B77" s="143" t="s">
        <v>5</v>
      </c>
      <c r="C77" s="143" t="s">
        <v>5</v>
      </c>
      <c r="D77" s="143" t="s">
        <v>5</v>
      </c>
      <c r="E77" s="143" t="s">
        <v>5</v>
      </c>
      <c r="F77" s="143" t="s">
        <v>5</v>
      </c>
      <c r="G77" s="143" t="s">
        <v>5</v>
      </c>
      <c r="H77" s="143" t="s">
        <v>5</v>
      </c>
      <c r="I77" s="143" t="s">
        <v>5</v>
      </c>
    </row>
    <row r="78" spans="1:9" ht="14.25">
      <c r="A78" s="142" t="s">
        <v>132</v>
      </c>
      <c r="B78" s="144" t="str">
        <f>HLOOKUP('Date Drivers'!$A$1,'Date Drivers'!$B$1:$L$120,112)</f>
        <v>Недоступно (по умолчанию)</v>
      </c>
      <c r="C78" s="144" t="str">
        <f>HLOOKUP('Date Drivers'!$A$1,'Date Drivers'!$B$1:$L$120,113)</f>
        <v>Встроенный ЧМИ (несъемный)</v>
      </c>
      <c r="D78" s="144" t="str">
        <f>HLOOKUP('Date Drivers'!$A$1,'Date Drivers'!$B$1:$L$120,114)</f>
        <v>Герметичная крышка для защиты доступа к передней панели</v>
      </c>
      <c r="E78" s="144" t="str">
        <f>HLOOKUP('Date Drivers'!$A$1,'Date Drivers'!$B$1:$L$120,115)</f>
        <v>Встроенный ЧМИ + герметичная крышка для защиты доступа к передней панели</v>
      </c>
      <c r="F78" s="145">
        <f>HLOOKUP('Date Drivers'!$A$1,'Date Drivers'!$B$1:$L$120,117)</f>
        <v>0</v>
      </c>
      <c r="G78" s="145">
        <f>HLOOKUP('Date Drivers'!$A$1,'Date Drivers'!$B$1:$L$120,118)</f>
        <v>1</v>
      </c>
      <c r="H78" s="145">
        <f>HLOOKUP('Date Drivers'!$A$1,'Date Drivers'!$B$1:$L$120,119)</f>
        <v>2</v>
      </c>
      <c r="I78" s="145">
        <f>HLOOKUP('Date Drivers'!$A$1,'Date Drivers'!$B$1:$L$120,120)</f>
        <v>3</v>
      </c>
    </row>
    <row r="79" spans="1:9" ht="14.25">
      <c r="A79" s="142" t="s">
        <v>137</v>
      </c>
      <c r="B79" s="144" t="str">
        <f>HLOOKUP('Date Drivers'!$A$1,'Date Drivers'!$B$1:$L$120,112)</f>
        <v>Недоступно (по умолчанию)</v>
      </c>
      <c r="C79" s="144" t="str">
        <f>HLOOKUP('Date Drivers'!$A$1,'Date Drivers'!$B$1:$L$120,113)</f>
        <v>Встроенный ЧМИ (несъемный)</v>
      </c>
      <c r="D79" s="144" t="str">
        <f>HLOOKUP('Date Drivers'!$A$1,'Date Drivers'!$B$1:$L$120,114)</f>
        <v>Герметичная крышка для защиты доступа к передней панели</v>
      </c>
      <c r="E79" s="144" t="str">
        <f>HLOOKUP('Date Drivers'!$A$1,'Date Drivers'!$B$1:$L$120,115)</f>
        <v>Встроенный ЧМИ + герметичная крышка для защиты доступа к передней панели</v>
      </c>
      <c r="F79" s="145">
        <f>HLOOKUP('Date Drivers'!$A$1,'Date Drivers'!$B$1:$L$120,117)</f>
        <v>0</v>
      </c>
      <c r="G79" s="145">
        <f>HLOOKUP('Date Drivers'!$A$1,'Date Drivers'!$B$1:$L$120,118)</f>
        <v>1</v>
      </c>
      <c r="H79" s="145">
        <f>HLOOKUP('Date Drivers'!$A$1,'Date Drivers'!$B$1:$L$120,119)</f>
        <v>2</v>
      </c>
      <c r="I79" s="145">
        <f>HLOOKUP('Date Drivers'!$A$1,'Date Drivers'!$B$1:$L$120,120)</f>
        <v>3</v>
      </c>
    </row>
    <row r="80" spans="1:9" ht="14.25">
      <c r="A80" s="142" t="s">
        <v>89</v>
      </c>
      <c r="B80" s="143" t="s">
        <v>5</v>
      </c>
      <c r="C80" s="143" t="s">
        <v>5</v>
      </c>
      <c r="D80" s="143" t="s">
        <v>5</v>
      </c>
      <c r="E80" s="143" t="s">
        <v>5</v>
      </c>
      <c r="F80" s="143" t="s">
        <v>5</v>
      </c>
      <c r="G80" s="143" t="s">
        <v>5</v>
      </c>
      <c r="H80" s="143" t="s">
        <v>5</v>
      </c>
      <c r="I80" s="143" t="s">
        <v>5</v>
      </c>
    </row>
    <row r="81" spans="1:9" ht="14.25">
      <c r="A81" s="142" t="s">
        <v>133</v>
      </c>
      <c r="B81" s="144" t="str">
        <f>HLOOKUP('Date Drivers'!$A$1,'Date Drivers'!$B$1:$L$120,112)</f>
        <v>Недоступно (по умолчанию)</v>
      </c>
      <c r="C81" s="144" t="str">
        <f>HLOOKUP('Date Drivers'!$A$1,'Date Drivers'!$B$1:$L$120,113)</f>
        <v>Встроенный ЧМИ (несъемный)</v>
      </c>
      <c r="D81" s="144" t="str">
        <f>HLOOKUP('Date Drivers'!$A$1,'Date Drivers'!$B$1:$L$120,114)</f>
        <v>Герметичная крышка для защиты доступа к передней панели</v>
      </c>
      <c r="E81" s="144" t="str">
        <f>HLOOKUP('Date Drivers'!$A$1,'Date Drivers'!$B$1:$L$120,115)</f>
        <v>Встроенный ЧМИ + герметичная крышка для защиты доступа к передней панели</v>
      </c>
      <c r="F81" s="145">
        <f>HLOOKUP('Date Drivers'!$A$1,'Date Drivers'!$B$1:$L$120,117)</f>
        <v>0</v>
      </c>
      <c r="G81" s="145">
        <f>HLOOKUP('Date Drivers'!$A$1,'Date Drivers'!$B$1:$L$120,118)</f>
        <v>1</v>
      </c>
      <c r="H81" s="145">
        <f>HLOOKUP('Date Drivers'!$A$1,'Date Drivers'!$B$1:$L$120,119)</f>
        <v>2</v>
      </c>
      <c r="I81" s="145">
        <f>HLOOKUP('Date Drivers'!$A$1,'Date Drivers'!$B$1:$L$120,120)</f>
        <v>3</v>
      </c>
    </row>
    <row r="82" spans="1:9" ht="14.25">
      <c r="A82" s="142" t="s">
        <v>138</v>
      </c>
      <c r="B82" s="144" t="str">
        <f>HLOOKUP('Date Drivers'!$A$1,'Date Drivers'!$B$1:$L$120,112)</f>
        <v>Недоступно (по умолчанию)</v>
      </c>
      <c r="C82" s="144" t="str">
        <f>HLOOKUP('Date Drivers'!$A$1,'Date Drivers'!$B$1:$L$120,113)</f>
        <v>Встроенный ЧМИ (несъемный)</v>
      </c>
      <c r="D82" s="144" t="str">
        <f>HLOOKUP('Date Drivers'!$A$1,'Date Drivers'!$B$1:$L$120,114)</f>
        <v>Герметичная крышка для защиты доступа к передней панели</v>
      </c>
      <c r="E82" s="144" t="str">
        <f>HLOOKUP('Date Drivers'!$A$1,'Date Drivers'!$B$1:$L$120,115)</f>
        <v>Встроенный ЧМИ + герметичная крышка для защиты доступа к передней панели</v>
      </c>
      <c r="F82" s="145">
        <f>HLOOKUP('Date Drivers'!$A$1,'Date Drivers'!$B$1:$L$120,117)</f>
        <v>0</v>
      </c>
      <c r="G82" s="145">
        <f>HLOOKUP('Date Drivers'!$A$1,'Date Drivers'!$B$1:$L$120,118)</f>
        <v>1</v>
      </c>
      <c r="H82" s="145">
        <f>HLOOKUP('Date Drivers'!$A$1,'Date Drivers'!$B$1:$L$120,119)</f>
        <v>2</v>
      </c>
      <c r="I82" s="145">
        <f>HLOOKUP('Date Drivers'!$A$1,'Date Drivers'!$B$1:$L$120,120)</f>
        <v>3</v>
      </c>
    </row>
    <row r="83" spans="1:9" ht="14.25">
      <c r="A83" s="142" t="s">
        <v>90</v>
      </c>
      <c r="B83" s="143" t="s">
        <v>5</v>
      </c>
      <c r="C83" s="143" t="s">
        <v>5</v>
      </c>
      <c r="D83" s="143" t="s">
        <v>5</v>
      </c>
      <c r="E83" s="143" t="s">
        <v>5</v>
      </c>
      <c r="F83" s="143" t="s">
        <v>5</v>
      </c>
      <c r="G83" s="143" t="s">
        <v>5</v>
      </c>
      <c r="H83" s="143" t="s">
        <v>5</v>
      </c>
      <c r="I83" s="143" t="s">
        <v>5</v>
      </c>
    </row>
    <row r="84" spans="1:9" ht="14.25">
      <c r="A84" s="142" t="s">
        <v>136</v>
      </c>
      <c r="B84" s="144" t="str">
        <f>HLOOKUP('Date Drivers'!$A$1,'Date Drivers'!$B$1:$L$120,112)</f>
        <v>Недоступно (по умолчанию)</v>
      </c>
      <c r="C84" s="144" t="str">
        <f>HLOOKUP('Date Drivers'!$A$1,'Date Drivers'!$B$1:$L$120,113)</f>
        <v>Встроенный ЧМИ (несъемный)</v>
      </c>
      <c r="D84" s="144" t="str">
        <f>HLOOKUP('Date Drivers'!$A$1,'Date Drivers'!$B$1:$L$120,114)</f>
        <v>Герметичная крышка для защиты доступа к передней панели</v>
      </c>
      <c r="E84" s="144" t="str">
        <f>HLOOKUP('Date Drivers'!$A$1,'Date Drivers'!$B$1:$L$120,115)</f>
        <v>Встроенный ЧМИ + герметичная крышка для защиты доступа к передней панели</v>
      </c>
      <c r="F84" s="145">
        <f>HLOOKUP('Date Drivers'!$A$1,'Date Drivers'!$B$1:$L$120,117)</f>
        <v>0</v>
      </c>
      <c r="G84" s="145">
        <f>HLOOKUP('Date Drivers'!$A$1,'Date Drivers'!$B$1:$L$120,118)</f>
        <v>1</v>
      </c>
      <c r="H84" s="145">
        <f>HLOOKUP('Date Drivers'!$A$1,'Date Drivers'!$B$1:$L$120,119)</f>
        <v>2</v>
      </c>
      <c r="I84" s="145">
        <f>HLOOKUP('Date Drivers'!$A$1,'Date Drivers'!$B$1:$L$120,120)</f>
        <v>3</v>
      </c>
    </row>
    <row r="85" spans="1:9" ht="14.25">
      <c r="A85" s="142" t="s">
        <v>141</v>
      </c>
      <c r="B85" s="144" t="str">
        <f>HLOOKUP('Date Drivers'!$A$1,'Date Drivers'!$B$1:$L$120,112)</f>
        <v>Недоступно (по умолчанию)</v>
      </c>
      <c r="C85" s="144" t="str">
        <f>HLOOKUP('Date Drivers'!$A$1,'Date Drivers'!$B$1:$L$120,113)</f>
        <v>Встроенный ЧМИ (несъемный)</v>
      </c>
      <c r="D85" s="144" t="str">
        <f>HLOOKUP('Date Drivers'!$A$1,'Date Drivers'!$B$1:$L$120,114)</f>
        <v>Герметичная крышка для защиты доступа к передней панели</v>
      </c>
      <c r="E85" s="144" t="str">
        <f>HLOOKUP('Date Drivers'!$A$1,'Date Drivers'!$B$1:$L$120,115)</f>
        <v>Встроенный ЧМИ + герметичная крышка для защиты доступа к передней панели</v>
      </c>
      <c r="F85" s="145">
        <f>HLOOKUP('Date Drivers'!$A$1,'Date Drivers'!$B$1:$L$120,117)</f>
        <v>0</v>
      </c>
      <c r="G85" s="145">
        <f>HLOOKUP('Date Drivers'!$A$1,'Date Drivers'!$B$1:$L$120,118)</f>
        <v>1</v>
      </c>
      <c r="H85" s="145">
        <f>HLOOKUP('Date Drivers'!$A$1,'Date Drivers'!$B$1:$L$120,119)</f>
        <v>2</v>
      </c>
      <c r="I85" s="145">
        <f>HLOOKUP('Date Drivers'!$A$1,'Date Drivers'!$B$1:$L$120,120)</f>
        <v>3</v>
      </c>
    </row>
    <row r="86" spans="1:9" ht="14.25">
      <c r="A86" s="142" t="s">
        <v>91</v>
      </c>
      <c r="B86" s="143" t="s">
        <v>5</v>
      </c>
      <c r="C86" s="143" t="s">
        <v>5</v>
      </c>
      <c r="D86" s="143" t="s">
        <v>5</v>
      </c>
      <c r="E86" s="143" t="s">
        <v>5</v>
      </c>
      <c r="F86" s="143" t="s">
        <v>5</v>
      </c>
      <c r="G86" s="143" t="s">
        <v>5</v>
      </c>
      <c r="H86" s="143" t="s">
        <v>5</v>
      </c>
      <c r="I86" s="143" t="s">
        <v>5</v>
      </c>
    </row>
    <row r="87" spans="1:9" ht="14.25">
      <c r="A87" s="142" t="s">
        <v>92</v>
      </c>
      <c r="B87" s="143" t="s">
        <v>5</v>
      </c>
      <c r="C87" s="143" t="s">
        <v>5</v>
      </c>
      <c r="D87" s="143" t="s">
        <v>5</v>
      </c>
      <c r="E87" s="143" t="s">
        <v>5</v>
      </c>
      <c r="F87" s="143" t="s">
        <v>5</v>
      </c>
      <c r="G87" s="143" t="s">
        <v>5</v>
      </c>
      <c r="H87" s="143" t="s">
        <v>5</v>
      </c>
      <c r="I87" s="143" t="s">
        <v>5</v>
      </c>
    </row>
    <row r="88" spans="1:9" ht="14.25">
      <c r="A88" s="142" t="s">
        <v>134</v>
      </c>
      <c r="B88" s="144" t="str">
        <f>HLOOKUP('Date Drivers'!$A$1,'Date Drivers'!$B$1:$L$120,113)</f>
        <v>Встроенный ЧМИ (несъемный)</v>
      </c>
      <c r="C88" s="144" t="str">
        <f>HLOOKUP('Date Drivers'!$A$1,'Date Drivers'!$B$1:$L$120,115)</f>
        <v>Встроенный ЧМИ + герметичная крышка для защиты доступа к передней панели</v>
      </c>
      <c r="D88" s="143" t="s">
        <v>5</v>
      </c>
      <c r="E88" s="143" t="s">
        <v>5</v>
      </c>
      <c r="F88" s="145">
        <f>HLOOKUP('Date Drivers'!$A$1,'Date Drivers'!$B$1:$L$120,118)</f>
        <v>1</v>
      </c>
      <c r="G88" s="145">
        <f>HLOOKUP('Date Drivers'!$A$1,'Date Drivers'!$B$1:$L$120,120)</f>
        <v>3</v>
      </c>
      <c r="H88" s="145">
        <f>HLOOKUP('Date Drivers'!$A$1,'Date Drivers'!$B$1:$L$120,120)</f>
        <v>3</v>
      </c>
      <c r="I88" s="145">
        <f>HLOOKUP('Date Drivers'!$A$1,'Date Drivers'!$B$1:$L$120,120)</f>
        <v>3</v>
      </c>
    </row>
    <row r="89" spans="1:9" ht="14.25">
      <c r="A89" s="142" t="s">
        <v>139</v>
      </c>
      <c r="B89" s="144" t="str">
        <f>HLOOKUP('Date Drivers'!$A$1,'Date Drivers'!$B$1:$L$120,113)</f>
        <v>Встроенный ЧМИ (несъемный)</v>
      </c>
      <c r="C89" s="144" t="str">
        <f>HLOOKUP('Date Drivers'!$A$1,'Date Drivers'!$B$1:$L$120,115)</f>
        <v>Встроенный ЧМИ + герметичная крышка для защиты доступа к передней панели</v>
      </c>
      <c r="D89" s="143" t="s">
        <v>5</v>
      </c>
      <c r="E89" s="143" t="s">
        <v>5</v>
      </c>
      <c r="F89" s="145">
        <f>HLOOKUP('Date Drivers'!$A$1,'Date Drivers'!$B$1:$L$120,118)</f>
        <v>1</v>
      </c>
      <c r="G89" s="145">
        <f>HLOOKUP('Date Drivers'!$A$1,'Date Drivers'!$B$1:$L$120,120)</f>
        <v>3</v>
      </c>
      <c r="H89" s="145">
        <f>HLOOKUP('Date Drivers'!$A$1,'Date Drivers'!$B$1:$L$120,120)</f>
        <v>3</v>
      </c>
      <c r="I89" s="145">
        <f>HLOOKUP('Date Drivers'!$A$1,'Date Drivers'!$B$1:$L$120,120)</f>
        <v>3</v>
      </c>
    </row>
    <row r="90" spans="1:9" ht="14.25">
      <c r="A90" s="142" t="s">
        <v>93</v>
      </c>
      <c r="B90" s="143" t="s">
        <v>5</v>
      </c>
      <c r="C90" s="143" t="s">
        <v>5</v>
      </c>
      <c r="D90" s="143" t="s">
        <v>5</v>
      </c>
      <c r="E90" s="143" t="s">
        <v>5</v>
      </c>
      <c r="F90" s="143" t="s">
        <v>5</v>
      </c>
      <c r="G90" s="143" t="s">
        <v>5</v>
      </c>
      <c r="H90" s="143" t="s">
        <v>5</v>
      </c>
      <c r="I90" s="143" t="s">
        <v>5</v>
      </c>
    </row>
    <row r="91" spans="1:9" ht="14.25">
      <c r="A91" s="142" t="s">
        <v>94</v>
      </c>
      <c r="B91" s="144" t="str">
        <f>HLOOKUP('Date Drivers'!$A$1,'Date Drivers'!$B$1:$L$120,112)</f>
        <v>Недоступно (по умолчанию)</v>
      </c>
      <c r="C91" s="144" t="str">
        <f>HLOOKUP('Date Drivers'!$A$1,'Date Drivers'!$B$1:$L$120,113)</f>
        <v>Встроенный ЧМИ (несъемный)</v>
      </c>
      <c r="D91" s="144" t="str">
        <f>HLOOKUP('Date Drivers'!$A$1,'Date Drivers'!$B$1:$L$120,114)</f>
        <v>Герметичная крышка для защиты доступа к передней панели</v>
      </c>
      <c r="E91" s="144" t="str">
        <f>HLOOKUP('Date Drivers'!$A$1,'Date Drivers'!$B$1:$L$120,115)</f>
        <v>Встроенный ЧМИ + герметичная крышка для защиты доступа к передней панели</v>
      </c>
      <c r="F91" s="145">
        <f>HLOOKUP('Date Drivers'!$A$1,'Date Drivers'!$B$1:$L$120,117)</f>
        <v>0</v>
      </c>
      <c r="G91" s="145">
        <f>HLOOKUP('Date Drivers'!$A$1,'Date Drivers'!$B$1:$L$120,118)</f>
        <v>1</v>
      </c>
      <c r="H91" s="145">
        <f>HLOOKUP('Date Drivers'!$A$1,'Date Drivers'!$B$1:$L$120,119)</f>
        <v>2</v>
      </c>
      <c r="I91" s="145">
        <f>HLOOKUP('Date Drivers'!$A$1,'Date Drivers'!$B$1:$L$120,120)</f>
        <v>3</v>
      </c>
    </row>
    <row r="92" spans="1:9" ht="14.25">
      <c r="A92" s="142" t="s">
        <v>142</v>
      </c>
      <c r="B92" s="144" t="str">
        <f>HLOOKUP('Date Drivers'!$A$1,'Date Drivers'!$B$1:$L$120,112)</f>
        <v>Недоступно (по умолчанию)</v>
      </c>
      <c r="C92" s="144" t="str">
        <f>HLOOKUP('Date Drivers'!$A$1,'Date Drivers'!$B$1:$L$120,113)</f>
        <v>Встроенный ЧМИ (несъемный)</v>
      </c>
      <c r="D92" s="144" t="str">
        <f>HLOOKUP('Date Drivers'!$A$1,'Date Drivers'!$B$1:$L$120,114)</f>
        <v>Герметичная крышка для защиты доступа к передней панели</v>
      </c>
      <c r="E92" s="144" t="str">
        <f>HLOOKUP('Date Drivers'!$A$1,'Date Drivers'!$B$1:$L$120,115)</f>
        <v>Встроенный ЧМИ + герметичная крышка для защиты доступа к передней панели</v>
      </c>
      <c r="F92" s="145">
        <f>HLOOKUP('Date Drivers'!$A$1,'Date Drivers'!$B$1:$L$120,117)</f>
        <v>0</v>
      </c>
      <c r="G92" s="145">
        <f>HLOOKUP('Date Drivers'!$A$1,'Date Drivers'!$B$1:$L$120,118)</f>
        <v>1</v>
      </c>
      <c r="H92" s="145">
        <f>HLOOKUP('Date Drivers'!$A$1,'Date Drivers'!$B$1:$L$120,119)</f>
        <v>2</v>
      </c>
      <c r="I92" s="145">
        <f>HLOOKUP('Date Drivers'!$A$1,'Date Drivers'!$B$1:$L$120,120)</f>
        <v>3</v>
      </c>
    </row>
    <row r="93" spans="1:9" ht="14.25">
      <c r="A93" s="142" t="s">
        <v>95</v>
      </c>
      <c r="B93" s="144" t="str">
        <f>HLOOKUP('Date Drivers'!$A$1,'Date Drivers'!$B$1:$L$120,112)</f>
        <v>Недоступно (по умолчанию)</v>
      </c>
      <c r="C93" s="144" t="str">
        <f>HLOOKUP('Date Drivers'!$A$1,'Date Drivers'!$B$1:$L$120,113)</f>
        <v>Встроенный ЧМИ (несъемный)</v>
      </c>
      <c r="D93" s="144" t="str">
        <f>HLOOKUP('Date Drivers'!$A$1,'Date Drivers'!$B$1:$L$120,114)</f>
        <v>Герметичная крышка для защиты доступа к передней панели</v>
      </c>
      <c r="E93" s="144" t="str">
        <f>HLOOKUP('Date Drivers'!$A$1,'Date Drivers'!$B$1:$L$120,115)</f>
        <v>Встроенный ЧМИ + герметичная крышка для защиты доступа к передней панели</v>
      </c>
      <c r="F93" s="145">
        <f>HLOOKUP('Date Drivers'!$A$1,'Date Drivers'!$B$1:$L$120,117)</f>
        <v>0</v>
      </c>
      <c r="G93" s="145">
        <f>HLOOKUP('Date Drivers'!$A$1,'Date Drivers'!$B$1:$L$120,118)</f>
        <v>1</v>
      </c>
      <c r="H93" s="145">
        <f>HLOOKUP('Date Drivers'!$A$1,'Date Drivers'!$B$1:$L$120,119)</f>
        <v>2</v>
      </c>
      <c r="I93" s="145">
        <f>HLOOKUP('Date Drivers'!$A$1,'Date Drivers'!$B$1:$L$120,120)</f>
        <v>3</v>
      </c>
    </row>
    <row r="94" spans="1:9" ht="14.25">
      <c r="A94" s="142" t="s">
        <v>143</v>
      </c>
      <c r="B94" s="144" t="str">
        <f>HLOOKUP('Date Drivers'!$A$1,'Date Drivers'!$B$1:$L$120,112)</f>
        <v>Недоступно (по умолчанию)</v>
      </c>
      <c r="C94" s="144" t="str">
        <f>HLOOKUP('Date Drivers'!$A$1,'Date Drivers'!$B$1:$L$120,113)</f>
        <v>Встроенный ЧМИ (несъемный)</v>
      </c>
      <c r="D94" s="144" t="str">
        <f>HLOOKUP('Date Drivers'!$A$1,'Date Drivers'!$B$1:$L$120,114)</f>
        <v>Герметичная крышка для защиты доступа к передней панели</v>
      </c>
      <c r="E94" s="144" t="str">
        <f>HLOOKUP('Date Drivers'!$A$1,'Date Drivers'!$B$1:$L$120,115)</f>
        <v>Встроенный ЧМИ + герметичная крышка для защиты доступа к передней панели</v>
      </c>
      <c r="F94" s="145">
        <f>HLOOKUP('Date Drivers'!$A$1,'Date Drivers'!$B$1:$L$120,117)</f>
        <v>0</v>
      </c>
      <c r="G94" s="145">
        <f>HLOOKUP('Date Drivers'!$A$1,'Date Drivers'!$B$1:$L$120,118)</f>
        <v>1</v>
      </c>
      <c r="H94" s="145">
        <f>HLOOKUP('Date Drivers'!$A$1,'Date Drivers'!$B$1:$L$120,119)</f>
        <v>2</v>
      </c>
      <c r="I94" s="145">
        <f>HLOOKUP('Date Drivers'!$A$1,'Date Drivers'!$B$1:$L$120,120)</f>
        <v>3</v>
      </c>
    </row>
    <row r="95" spans="1:9" ht="14.25">
      <c r="A95" s="142" t="s">
        <v>135</v>
      </c>
      <c r="B95" s="144" t="str">
        <f>HLOOKUP('Date Drivers'!$A$1,'Date Drivers'!$B$1:$L$120,112)</f>
        <v>Недоступно (по умолчанию)</v>
      </c>
      <c r="C95" s="144" t="str">
        <f>HLOOKUP('Date Drivers'!$A$1,'Date Drivers'!$B$1:$L$120,113)</f>
        <v>Встроенный ЧМИ (несъемный)</v>
      </c>
      <c r="D95" s="144" t="str">
        <f>HLOOKUP('Date Drivers'!$A$1,'Date Drivers'!$B$1:$L$120,114)</f>
        <v>Герметичная крышка для защиты доступа к передней панели</v>
      </c>
      <c r="E95" s="144" t="str">
        <f>HLOOKUP('Date Drivers'!$A$1,'Date Drivers'!$B$1:$L$120,115)</f>
        <v>Встроенный ЧМИ + герметичная крышка для защиты доступа к передней панели</v>
      </c>
      <c r="F95" s="145">
        <f>HLOOKUP('Date Drivers'!$A$1,'Date Drivers'!$B$1:$L$120,117)</f>
        <v>0</v>
      </c>
      <c r="G95" s="145">
        <f>HLOOKUP('Date Drivers'!$A$1,'Date Drivers'!$B$1:$L$120,118)</f>
        <v>1</v>
      </c>
      <c r="H95" s="145">
        <f>HLOOKUP('Date Drivers'!$A$1,'Date Drivers'!$B$1:$L$120,119)</f>
        <v>2</v>
      </c>
      <c r="I95" s="145">
        <f>HLOOKUP('Date Drivers'!$A$1,'Date Drivers'!$B$1:$L$120,120)</f>
        <v>3</v>
      </c>
    </row>
    <row r="96" spans="1:9" ht="14.25">
      <c r="A96" s="146" t="s">
        <v>140</v>
      </c>
      <c r="B96" s="144" t="str">
        <f>HLOOKUP('Date Drivers'!$A$1,'Date Drivers'!$B$1:$L$120,112)</f>
        <v>Недоступно (по умолчанию)</v>
      </c>
      <c r="C96" s="144" t="str">
        <f>HLOOKUP('Date Drivers'!$A$1,'Date Drivers'!$B$1:$L$120,113)</f>
        <v>Встроенный ЧМИ (несъемный)</v>
      </c>
      <c r="D96" s="144" t="str">
        <f>HLOOKUP('Date Drivers'!$A$1,'Date Drivers'!$B$1:$L$120,114)</f>
        <v>Герметичная крышка для защиты доступа к передней панели</v>
      </c>
      <c r="E96" s="144" t="str">
        <f>HLOOKUP('Date Drivers'!$A$1,'Date Drivers'!$B$1:$L$120,115)</f>
        <v>Встроенный ЧМИ + герметичная крышка для защиты доступа к передней панели</v>
      </c>
      <c r="F96" s="145">
        <f>HLOOKUP('Date Drivers'!$A$1,'Date Drivers'!$B$1:$L$120,117)</f>
        <v>0</v>
      </c>
      <c r="G96" s="145">
        <f>HLOOKUP('Date Drivers'!$A$1,'Date Drivers'!$B$1:$L$120,118)</f>
        <v>1</v>
      </c>
      <c r="H96" s="145">
        <f>HLOOKUP('Date Drivers'!$A$1,'Date Drivers'!$B$1:$L$120,119)</f>
        <v>2</v>
      </c>
      <c r="I96" s="145">
        <f>HLOOKUP('Date Drivers'!$A$1,'Date Drivers'!$B$1:$L$120,120)</f>
        <v>3</v>
      </c>
    </row>
    <row r="97" spans="1:9" ht="14.25">
      <c r="A97" s="137"/>
      <c r="B97" s="137"/>
      <c r="C97" s="136"/>
      <c r="D97" s="137"/>
      <c r="E97" s="137"/>
      <c r="F97" s="137"/>
      <c r="G97" s="137"/>
      <c r="H97" s="137"/>
      <c r="I97" s="137"/>
    </row>
    <row r="98" spans="1:9" ht="14.25">
      <c r="A98" s="147"/>
      <c r="C98" s="136"/>
      <c r="D98" s="137"/>
      <c r="E98" s="137"/>
      <c r="F98" s="137"/>
      <c r="G98" s="137"/>
      <c r="H98" s="137"/>
      <c r="I98" s="137"/>
    </row>
    <row r="99" spans="1:9" ht="14.25">
      <c r="A99" s="149">
        <v>1</v>
      </c>
      <c r="B99" s="150" t="str">
        <f>VLOOKUP($B$74,$A$75:$I$96,2)</f>
        <v>Недоступно (по умолчанию)</v>
      </c>
      <c r="C99" s="151">
        <f>VLOOKUP($B$74,$A$75:$I$96,6)</f>
        <v>0</v>
      </c>
      <c r="D99" s="137"/>
      <c r="E99" s="137"/>
      <c r="F99" s="137"/>
      <c r="G99" s="137"/>
      <c r="H99" s="137"/>
      <c r="I99" s="137"/>
    </row>
    <row r="100" spans="1:9" ht="14.25">
      <c r="A100" s="152">
        <v>2</v>
      </c>
      <c r="B100" s="153" t="str">
        <f>VLOOKUP($B$74,$A$75:$I$96,3)</f>
        <v>Встроенный ЧМИ (несъемный)</v>
      </c>
      <c r="C100" s="154">
        <f>VLOOKUP($B$74,$A$75:$I$96,7)</f>
        <v>1</v>
      </c>
      <c r="D100" s="137"/>
      <c r="E100" s="137"/>
      <c r="F100" s="137"/>
      <c r="G100" s="137"/>
      <c r="H100" s="137"/>
      <c r="I100" s="137"/>
    </row>
    <row r="101" spans="1:9" ht="14.25">
      <c r="A101" s="152">
        <v>3</v>
      </c>
      <c r="B101" s="153" t="str">
        <f>VLOOKUP($B$74,$A$75:$I$96,4)</f>
        <v>Герметичная крышка для защиты доступа к передней панели</v>
      </c>
      <c r="C101" s="154">
        <f>VLOOKUP($B$74,$A$75:$I$96,8)</f>
        <v>2</v>
      </c>
      <c r="D101" s="137"/>
      <c r="E101" s="137"/>
      <c r="F101" s="137"/>
      <c r="G101" s="137"/>
      <c r="H101" s="137"/>
      <c r="I101" s="137"/>
    </row>
    <row r="102" spans="1:9" ht="14.25">
      <c r="A102" s="155">
        <v>4</v>
      </c>
      <c r="B102" s="156" t="str">
        <f>VLOOKUP($B$74,$A$75:$I$96,5)</f>
        <v>Встроенный ЧМИ + герметичная крышка для защиты доступа к передней панели</v>
      </c>
      <c r="C102" s="157">
        <f>VLOOKUP($B$74,$A$75:$I$96,9)</f>
        <v>3</v>
      </c>
      <c r="D102" s="137"/>
      <c r="E102" s="137"/>
      <c r="F102" s="137"/>
      <c r="G102" s="137"/>
      <c r="H102" s="137"/>
      <c r="I102" s="137"/>
    </row>
    <row r="104" spans="1:3" s="137" customFormat="1" ht="15">
      <c r="A104" s="147"/>
      <c r="B104" s="148">
        <f>Configurator!$J$5</f>
        <v>2</v>
      </c>
      <c r="C104" s="136"/>
    </row>
    <row r="105" spans="1:3" s="137" customFormat="1" ht="14.25">
      <c r="A105" s="149">
        <v>1</v>
      </c>
      <c r="B105" s="150" t="str">
        <f>HLOOKUP('Date Drivers'!$A$1,'Date Drivers'!$B$1:$L$120,110)</f>
        <v>Not applicable</v>
      </c>
      <c r="C105" s="136"/>
    </row>
    <row r="106" spans="1:3" s="137" customFormat="1" ht="14.25">
      <c r="A106" s="155">
        <v>2</v>
      </c>
      <c r="B106" s="156" t="str">
        <f>HLOOKUP('Date Drivers'!$A$1,'Date Drivers'!$B$1:$L$120,109)</f>
        <v>Mountng option</v>
      </c>
      <c r="C106" s="136"/>
    </row>
  </sheetData>
  <sheetProtection password="DFED" sheet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B30"/>
  <sheetViews>
    <sheetView zoomScalePageLayoutView="0" workbookViewId="0" topLeftCell="A1">
      <selection activeCell="B3" sqref="B3"/>
    </sheetView>
  </sheetViews>
  <sheetFormatPr defaultColWidth="10.00390625" defaultRowHeight="14.25"/>
  <cols>
    <col min="1" max="1" width="18.625" style="266" customWidth="1"/>
    <col min="2" max="2" width="23.125" style="278" customWidth="1"/>
    <col min="3" max="26" width="2.50390625" style="274" customWidth="1"/>
    <col min="27" max="27" width="20.125" style="266" customWidth="1"/>
    <col min="28" max="16384" width="10.00390625" style="266" customWidth="1"/>
  </cols>
  <sheetData>
    <row r="1" spans="1:28" ht="17.25" customHeight="1">
      <c r="A1" s="263"/>
      <c r="B1" s="264"/>
      <c r="C1" s="265">
        <f aca="true" t="shared" si="0" ref="C1:Z1">IF(C3&lt;&gt;"",COLUMN(C$1:C$65536)-2,"")</f>
        <v>1</v>
      </c>
      <c r="D1" s="265">
        <f t="shared" si="0"/>
        <v>2</v>
      </c>
      <c r="E1" s="265">
        <f t="shared" si="0"/>
        <v>3</v>
      </c>
      <c r="F1" s="265">
        <f t="shared" si="0"/>
        <v>4</v>
      </c>
      <c r="G1" s="265">
        <f t="shared" si="0"/>
        <v>5</v>
      </c>
      <c r="H1" s="265">
        <f t="shared" si="0"/>
        <v>6</v>
      </c>
      <c r="I1" s="265">
        <f t="shared" si="0"/>
        <v>7</v>
      </c>
      <c r="J1" s="265">
        <f t="shared" si="0"/>
        <v>8</v>
      </c>
      <c r="K1" s="265">
        <f t="shared" si="0"/>
        <v>9</v>
      </c>
      <c r="L1" s="265">
        <f t="shared" si="0"/>
        <v>10</v>
      </c>
      <c r="M1" s="265">
        <f t="shared" si="0"/>
        <v>11</v>
      </c>
      <c r="N1" s="265">
        <f t="shared" si="0"/>
        <v>12</v>
      </c>
      <c r="O1" s="265">
        <f t="shared" si="0"/>
        <v>13</v>
      </c>
      <c r="P1" s="265">
        <f t="shared" si="0"/>
        <v>14</v>
      </c>
      <c r="Q1" s="265">
        <f t="shared" si="0"/>
      </c>
      <c r="R1" s="265">
        <f t="shared" si="0"/>
      </c>
      <c r="S1" s="265">
        <f t="shared" si="0"/>
      </c>
      <c r="T1" s="265">
        <f t="shared" si="0"/>
      </c>
      <c r="U1" s="265">
        <f t="shared" si="0"/>
      </c>
      <c r="V1" s="265">
        <f t="shared" si="0"/>
      </c>
      <c r="W1" s="265">
        <f t="shared" si="0"/>
      </c>
      <c r="X1" s="265">
        <f t="shared" si="0"/>
      </c>
      <c r="Y1" s="265">
        <f t="shared" si="0"/>
      </c>
      <c r="Z1" s="265">
        <f t="shared" si="0"/>
      </c>
      <c r="AA1" s="265">
        <f>MAX(C1:Z1,AB1)</f>
        <v>21</v>
      </c>
      <c r="AB1" s="265">
        <f>MAX(AB5:AB30)-4</f>
        <v>21</v>
      </c>
    </row>
    <row r="2" spans="1:27" ht="13.5" thickBot="1">
      <c r="A2" s="267" t="s">
        <v>156</v>
      </c>
      <c r="B2" s="268" t="s">
        <v>173</v>
      </c>
      <c r="C2" s="269" t="str">
        <f aca="true" t="shared" si="1" ref="C2:AA2">MID($B$2,COLUMN(C$1:C$65536)-2,1)</f>
        <v>P</v>
      </c>
      <c r="D2" s="269" t="str">
        <f t="shared" si="1"/>
        <v>9</v>
      </c>
      <c r="E2" s="269" t="str">
        <f t="shared" si="1"/>
        <v>2</v>
      </c>
      <c r="F2" s="269" t="str">
        <f t="shared" si="1"/>
        <v>3</v>
      </c>
      <c r="G2" s="269" t="str">
        <f t="shared" si="1"/>
        <v>0</v>
      </c>
      <c r="H2" s="269" t="str">
        <f t="shared" si="1"/>
        <v>A</v>
      </c>
      <c r="I2" s="269" t="str">
        <f t="shared" si="1"/>
        <v>S</v>
      </c>
      <c r="J2" s="269" t="str">
        <f t="shared" si="1"/>
        <v>H</v>
      </c>
      <c r="K2" s="269" t="str">
        <f t="shared" si="1"/>
        <v>1</v>
      </c>
      <c r="L2" s="269" t="str">
        <f t="shared" si="1"/>
        <v>1</v>
      </c>
      <c r="M2" s="269" t="str">
        <f t="shared" si="1"/>
        <v>2</v>
      </c>
      <c r="N2" s="269" t="str">
        <f t="shared" si="1"/>
        <v>C</v>
      </c>
      <c r="O2" s="269" t="str">
        <f t="shared" si="1"/>
        <v>C</v>
      </c>
      <c r="P2" s="269" t="str">
        <f t="shared" si="1"/>
        <v>0</v>
      </c>
      <c r="Q2" s="269" t="str">
        <f t="shared" si="1"/>
        <v> </v>
      </c>
      <c r="R2" s="269">
        <f t="shared" si="1"/>
      </c>
      <c r="S2" s="269">
        <f t="shared" si="1"/>
      </c>
      <c r="T2" s="269">
        <f t="shared" si="1"/>
      </c>
      <c r="U2" s="269">
        <f t="shared" si="1"/>
      </c>
      <c r="V2" s="269">
        <f t="shared" si="1"/>
      </c>
      <c r="W2" s="269">
        <f t="shared" si="1"/>
      </c>
      <c r="X2" s="269">
        <f t="shared" si="1"/>
      </c>
      <c r="Y2" s="269">
        <f t="shared" si="1"/>
      </c>
      <c r="Z2" s="269">
        <f t="shared" si="1"/>
      </c>
      <c r="AA2" s="269">
        <f t="shared" si="1"/>
      </c>
    </row>
    <row r="3" spans="1:27" ht="13.5" thickBot="1">
      <c r="A3" s="270" t="s">
        <v>157</v>
      </c>
      <c r="B3" s="271" t="str">
        <f>C3&amp;D3&amp;E3&amp;F3&amp;G3&amp;H3&amp;I3&amp;J3&amp;K3&amp;L3&amp;M3&amp;N3&amp;O3&amp;P3&amp;Q3&amp;R3&amp;S3&amp;T3&amp;U3&amp;V3&amp;W3&amp;X3&amp;Y3&amp;Z3</f>
        <v>P9230ASZ352CC3</v>
      </c>
      <c r="C3" s="272" t="str">
        <f aca="true" t="shared" si="2" ref="C3:Z3">+C5&amp;C6&amp;C7&amp;C8&amp;C10&amp;C12&amp;C13&amp;C14&amp;C15&amp;C16&amp;C17&amp;C18&amp;C19&amp;C20&amp;C21&amp;C22&amp;C23&amp;C24&amp;C25&amp;C9&amp;C11&amp;C26&amp;C27&amp;C28&amp;C29&amp;C30</f>
        <v>P</v>
      </c>
      <c r="D3" s="272" t="str">
        <f t="shared" si="2"/>
        <v>9</v>
      </c>
      <c r="E3" s="272" t="str">
        <f t="shared" si="2"/>
        <v>2</v>
      </c>
      <c r="F3" s="272" t="str">
        <f t="shared" si="2"/>
        <v>3</v>
      </c>
      <c r="G3" s="272" t="str">
        <f t="shared" si="2"/>
        <v>0</v>
      </c>
      <c r="H3" s="272" t="str">
        <f t="shared" si="2"/>
        <v>A</v>
      </c>
      <c r="I3" s="272" t="str">
        <f t="shared" si="2"/>
        <v>S</v>
      </c>
      <c r="J3" s="272" t="str">
        <f t="shared" si="2"/>
        <v>Z</v>
      </c>
      <c r="K3" s="272" t="str">
        <f t="shared" si="2"/>
        <v>3</v>
      </c>
      <c r="L3" s="272" t="str">
        <f t="shared" si="2"/>
        <v>5</v>
      </c>
      <c r="M3" s="272" t="str">
        <f t="shared" si="2"/>
        <v>2</v>
      </c>
      <c r="N3" s="272" t="str">
        <f t="shared" si="2"/>
        <v>C</v>
      </c>
      <c r="O3" s="272" t="str">
        <f t="shared" si="2"/>
        <v>C</v>
      </c>
      <c r="P3" s="272" t="str">
        <f t="shared" si="2"/>
        <v>3</v>
      </c>
      <c r="Q3" s="272">
        <f t="shared" si="2"/>
      </c>
      <c r="R3" s="272">
        <f t="shared" si="2"/>
      </c>
      <c r="S3" s="272">
        <f t="shared" si="2"/>
      </c>
      <c r="T3" s="272">
        <f t="shared" si="2"/>
      </c>
      <c r="U3" s="272">
        <f t="shared" si="2"/>
      </c>
      <c r="V3" s="272">
        <f t="shared" si="2"/>
      </c>
      <c r="W3" s="272">
        <f t="shared" si="2"/>
      </c>
      <c r="X3" s="272">
        <f t="shared" si="2"/>
      </c>
      <c r="Y3" s="272">
        <f t="shared" si="2"/>
      </c>
      <c r="Z3" s="272">
        <f t="shared" si="2"/>
      </c>
      <c r="AA3" s="272" t="s">
        <v>158</v>
      </c>
    </row>
    <row r="4" ht="12.75">
      <c r="B4" s="273">
        <v>0</v>
      </c>
    </row>
    <row r="5" spans="1:28" ht="12.75">
      <c r="A5" s="266" t="s">
        <v>159</v>
      </c>
      <c r="B5" s="275"/>
      <c r="C5" s="274" t="s">
        <v>160</v>
      </c>
      <c r="AB5" s="266">
        <f>+IF(AND(ISBLANK(A5),ISBLANK(B5)),0,ROW(A5))</f>
        <v>5</v>
      </c>
    </row>
    <row r="6" spans="1:28" ht="12.75">
      <c r="A6" s="266" t="s">
        <v>161</v>
      </c>
      <c r="B6" s="275"/>
      <c r="D6" s="274">
        <v>9</v>
      </c>
      <c r="AB6" s="266">
        <f aca="true" t="shared" si="3" ref="AB6:AB22">+IF(AND(ISBLANK(A6),ISBLANK(B6)),0,ROW(A6))</f>
        <v>6</v>
      </c>
    </row>
    <row r="7" spans="1:28" ht="12.75">
      <c r="A7" s="266" t="s">
        <v>162</v>
      </c>
      <c r="B7" s="275"/>
      <c r="E7" s="274">
        <v>2</v>
      </c>
      <c r="AB7" s="266">
        <f t="shared" si="3"/>
        <v>7</v>
      </c>
    </row>
    <row r="8" spans="1:28" ht="12.75">
      <c r="A8" s="266" t="s">
        <v>163</v>
      </c>
      <c r="B8" s="275"/>
      <c r="F8" s="274">
        <v>3</v>
      </c>
      <c r="AB8" s="266">
        <f t="shared" si="3"/>
        <v>8</v>
      </c>
    </row>
    <row r="9" spans="1:28" ht="12.75">
      <c r="A9" s="266" t="s">
        <v>171</v>
      </c>
      <c r="B9" s="275"/>
      <c r="G9" s="274">
        <v>0</v>
      </c>
      <c r="AB9" s="266">
        <f>+IF(AND(ISBLANK(A9),ISBLANK(B9)),0,ROW(A9))</f>
        <v>9</v>
      </c>
    </row>
    <row r="10" spans="1:28" ht="15">
      <c r="A10" s="279" t="s">
        <v>164</v>
      </c>
      <c r="B10" s="261">
        <v>1</v>
      </c>
      <c r="H10" s="274" t="str">
        <f>IF(OR(ISERR(Configurator!E$5),ISNA(Configurator!E$5)),"_",Configurator!E$5)</f>
        <v>A</v>
      </c>
      <c r="AB10" s="266">
        <f>+IF(AND(ISBLANK(A10),ISBLANK(#REF!)),0,ROW(A10))</f>
        <v>10</v>
      </c>
    </row>
    <row r="11" spans="1:28" ht="12.75">
      <c r="A11" s="266" t="s">
        <v>171</v>
      </c>
      <c r="B11" s="275"/>
      <c r="I11" s="274" t="s">
        <v>15</v>
      </c>
      <c r="AB11" s="266">
        <f>+IF(AND(ISBLANK(A11),ISBLANK(B11)),0,ROW(A11))</f>
        <v>11</v>
      </c>
    </row>
    <row r="12" spans="1:28" ht="15">
      <c r="A12" s="279" t="s">
        <v>165</v>
      </c>
      <c r="B12" s="261">
        <v>2</v>
      </c>
      <c r="J12" s="274" t="str">
        <f>IF(OR(ISERR(Configurator!G$5),ISNA(Configurator!G$5)),"_",Configurator!G$5)</f>
        <v>Z</v>
      </c>
      <c r="AB12" s="266">
        <f>+IF(AND(ISBLANK(A12),ISBLANK(#REF!)),0,ROW(A12))</f>
        <v>12</v>
      </c>
    </row>
    <row r="13" spans="1:28" ht="15">
      <c r="A13" s="279" t="s">
        <v>166</v>
      </c>
      <c r="B13" s="261">
        <v>1</v>
      </c>
      <c r="AB13" s="266">
        <f>+IF(AND(ISBLANK(A13),ISBLANK(#REF!)),0,ROW(A13))</f>
        <v>13</v>
      </c>
    </row>
    <row r="14" spans="1:28" ht="15">
      <c r="A14" s="279" t="s">
        <v>167</v>
      </c>
      <c r="B14" s="261">
        <v>3</v>
      </c>
      <c r="K14" s="274">
        <f>IF(OR(ISERR(Configurator!H$5),ISNA(Configurator!H$5)),"_",Configurator!H$5)</f>
        <v>3</v>
      </c>
      <c r="AB14" s="266">
        <f>+IF(AND(ISBLANK(A14),ISBLANK(#REF!)),0,ROW(A14))</f>
        <v>14</v>
      </c>
    </row>
    <row r="15" spans="1:28" ht="15">
      <c r="A15" s="279" t="s">
        <v>168</v>
      </c>
      <c r="B15" s="261">
        <v>6</v>
      </c>
      <c r="L15" s="274">
        <f>IF(OR(ISERR(Configurator!I$5),ISNA(Configurator!I$5)),"_",Configurator!I$5)</f>
        <v>5</v>
      </c>
      <c r="M15" s="274">
        <f>IF(OR(ISERR(Configurator!J$5),ISNA(Configurator!J$5)),"_",Configurator!J$5)</f>
        <v>2</v>
      </c>
      <c r="AB15" s="266">
        <f>+IF(AND(ISBLANK(A15),ISBLANK(#REF!)),0,ROW(A15))</f>
        <v>15</v>
      </c>
    </row>
    <row r="16" spans="1:28" ht="15">
      <c r="A16" s="279" t="s">
        <v>169</v>
      </c>
      <c r="B16" s="261">
        <v>2</v>
      </c>
      <c r="N16" s="274" t="str">
        <f>IF(OR(ISERR(Configurator!K$5),ISNA(Configurator!K$5)),"_",Configurator!K$5)</f>
        <v>C</v>
      </c>
      <c r="O16" s="274" t="str">
        <f>IF(OR(ISERR(Configurator!L$5),ISNA(Configurator!L$5)),"_",Configurator!L$5)</f>
        <v>C</v>
      </c>
      <c r="AB16" s="266">
        <f>+IF(AND(ISBLANK(A16),ISBLANK(#REF!)),0,ROW(A16))</f>
        <v>16</v>
      </c>
    </row>
    <row r="17" spans="1:28" ht="15">
      <c r="A17" s="279" t="s">
        <v>170</v>
      </c>
      <c r="B17" s="262">
        <v>4</v>
      </c>
      <c r="P17" s="274">
        <f>IF(OR(ISERR(Configurator!M$5),ISNA(Configurator!M$5)),"_",Configurator!M$5)</f>
        <v>3</v>
      </c>
      <c r="AB17" s="266">
        <f>+IF(AND(ISBLANK(A17),ISBLANK(#REF!)),0,ROW(A17))</f>
        <v>17</v>
      </c>
    </row>
    <row r="18" spans="2:28" ht="12.75">
      <c r="B18" s="276">
        <v>0</v>
      </c>
      <c r="AB18" s="266">
        <f t="shared" si="3"/>
        <v>18</v>
      </c>
    </row>
    <row r="19" spans="2:28" ht="12.75">
      <c r="B19" s="275"/>
      <c r="AB19" s="266">
        <f t="shared" si="3"/>
        <v>0</v>
      </c>
    </row>
    <row r="20" spans="2:28" ht="12.75">
      <c r="B20" s="276">
        <v>0</v>
      </c>
      <c r="AB20" s="266">
        <f t="shared" si="3"/>
        <v>20</v>
      </c>
    </row>
    <row r="21" spans="2:28" ht="12.75">
      <c r="B21" s="276">
        <v>0</v>
      </c>
      <c r="AB21" s="266">
        <f t="shared" si="3"/>
        <v>21</v>
      </c>
    </row>
    <row r="22" spans="2:28" ht="12.75">
      <c r="B22" s="276">
        <v>0</v>
      </c>
      <c r="AB22" s="266">
        <f t="shared" si="3"/>
        <v>22</v>
      </c>
    </row>
    <row r="23" spans="2:28" ht="12.75">
      <c r="B23" s="277">
        <v>0</v>
      </c>
      <c r="AB23" s="266">
        <f>+IF(AND(ISBLANK(A23),ISBLANK(B24)),0,ROW(A23))</f>
        <v>23</v>
      </c>
    </row>
    <row r="24" spans="2:28" ht="12.75">
      <c r="B24" s="276">
        <v>0</v>
      </c>
      <c r="AB24" s="266">
        <f>+IF(AND(ISBLANK(A24),ISBLANK(B25)),0,ROW(A24))</f>
        <v>24</v>
      </c>
    </row>
    <row r="25" spans="2:28" ht="12.75">
      <c r="B25" s="276">
        <v>0</v>
      </c>
      <c r="AB25" s="266">
        <f>+IF(AND(ISBLANK(A25),ISBLANK(#REF!)),0,ROW(A25))</f>
        <v>25</v>
      </c>
    </row>
    <row r="26" spans="2:28" ht="12.75">
      <c r="B26" s="275"/>
      <c r="AB26" s="266">
        <f>+IF(AND(ISBLANK(A26),ISBLANK(B26)),0,ROW(A26))</f>
        <v>0</v>
      </c>
    </row>
    <row r="27" spans="2:28" ht="12.75">
      <c r="B27" s="275"/>
      <c r="AB27" s="266">
        <f>+IF(AND(ISBLANK(A27),ISBLANK(B27)),0,ROW(A27))</f>
        <v>0</v>
      </c>
    </row>
    <row r="28" spans="2:28" ht="12.75">
      <c r="B28" s="275"/>
      <c r="AB28" s="266">
        <f>+IF(AND(ISBLANK(A28),ISBLANK(B28)),0,ROW(A28))</f>
        <v>0</v>
      </c>
    </row>
    <row r="29" spans="2:28" ht="12.75">
      <c r="B29" s="275"/>
      <c r="AB29" s="266">
        <f>+IF(AND(ISBLANK(A29),ISBLANK(B29)),0,ROW(A29))</f>
        <v>0</v>
      </c>
    </row>
    <row r="30" spans="2:28" ht="12.75">
      <c r="B30" s="275"/>
      <c r="AB30" s="266">
        <f>+IF(AND(ISBLANK(A30),ISBLANK(B30)),0,ROW(A30))</f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120"/>
  <sheetViews>
    <sheetView zoomScale="75" zoomScaleNormal="75" zoomScalePageLayoutView="0" workbookViewId="0" topLeftCell="A1">
      <pane xSplit="1" ySplit="1" topLeftCell="I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2" sqref="M112"/>
    </sheetView>
  </sheetViews>
  <sheetFormatPr defaultColWidth="9.00390625" defaultRowHeight="14.25"/>
  <cols>
    <col min="1" max="1" width="27.625" style="120" bestFit="1" customWidth="1"/>
    <col min="2" max="4" width="42.125" style="117" bestFit="1" customWidth="1"/>
    <col min="5" max="6" width="49.50390625" style="117" bestFit="1" customWidth="1"/>
    <col min="7" max="12" width="42.125" style="117" bestFit="1" customWidth="1"/>
    <col min="13" max="16384" width="9.00390625" style="96" customWidth="1"/>
  </cols>
  <sheetData>
    <row r="1" spans="1:12" ht="15">
      <c r="A1" s="94">
        <f>Database!$B$2</f>
        <v>43159</v>
      </c>
      <c r="B1" s="95">
        <v>39142</v>
      </c>
      <c r="C1" s="95">
        <v>39195</v>
      </c>
      <c r="D1" s="95">
        <v>39335</v>
      </c>
      <c r="E1" s="95">
        <v>39503</v>
      </c>
      <c r="F1" s="95">
        <v>39755</v>
      </c>
      <c r="G1" s="95">
        <v>39791</v>
      </c>
      <c r="H1" s="95">
        <v>39923</v>
      </c>
      <c r="I1" s="95">
        <v>40116</v>
      </c>
      <c r="J1" s="95">
        <v>40190</v>
      </c>
      <c r="K1" s="95">
        <v>40318</v>
      </c>
      <c r="L1" s="95">
        <v>40415</v>
      </c>
    </row>
    <row r="2" spans="1:12" s="99" customFormat="1" ht="15">
      <c r="A2" s="97" t="s">
        <v>40</v>
      </c>
      <c r="B2" s="98" t="s">
        <v>46</v>
      </c>
      <c r="C2" s="98" t="s">
        <v>46</v>
      </c>
      <c r="D2" s="98" t="s">
        <v>46</v>
      </c>
      <c r="E2" s="98" t="s">
        <v>46</v>
      </c>
      <c r="F2" s="98" t="s">
        <v>46</v>
      </c>
      <c r="G2" s="98" t="s">
        <v>46</v>
      </c>
      <c r="H2" s="98" t="s">
        <v>46</v>
      </c>
      <c r="I2" s="98" t="s">
        <v>46</v>
      </c>
      <c r="J2" s="98" t="s">
        <v>46</v>
      </c>
      <c r="K2" s="98" t="s">
        <v>46</v>
      </c>
      <c r="L2" s="98" t="s">
        <v>46</v>
      </c>
    </row>
    <row r="3" spans="1:12" s="99" customFormat="1" ht="29.25">
      <c r="A3" s="100"/>
      <c r="B3" s="101" t="s">
        <v>47</v>
      </c>
      <c r="C3" s="101" t="s">
        <v>47</v>
      </c>
      <c r="D3" s="101" t="s">
        <v>47</v>
      </c>
      <c r="E3" s="101" t="s">
        <v>47</v>
      </c>
      <c r="F3" s="101" t="s">
        <v>47</v>
      </c>
      <c r="G3" s="101" t="s">
        <v>47</v>
      </c>
      <c r="H3" s="101" t="s">
        <v>47</v>
      </c>
      <c r="I3" s="101" t="s">
        <v>47</v>
      </c>
      <c r="J3" s="101" t="s">
        <v>47</v>
      </c>
      <c r="K3" s="101" t="s">
        <v>47</v>
      </c>
      <c r="L3" s="101" t="s">
        <v>47</v>
      </c>
    </row>
    <row r="4" spans="1:12" s="99" customFormat="1" ht="15">
      <c r="A4" s="100"/>
      <c r="B4" s="93" t="s">
        <v>45</v>
      </c>
      <c r="C4" s="93" t="s">
        <v>45</v>
      </c>
      <c r="D4" s="93" t="s">
        <v>45</v>
      </c>
      <c r="E4" s="93" t="s">
        <v>45</v>
      </c>
      <c r="F4" s="93" t="s">
        <v>45</v>
      </c>
      <c r="G4" s="93" t="s">
        <v>45</v>
      </c>
      <c r="H4" s="93" t="s">
        <v>45</v>
      </c>
      <c r="I4" s="93" t="s">
        <v>45</v>
      </c>
      <c r="J4" s="93" t="s">
        <v>45</v>
      </c>
      <c r="K4" s="93" t="s">
        <v>45</v>
      </c>
      <c r="L4" s="93" t="s">
        <v>45</v>
      </c>
    </row>
    <row r="5" spans="1:12" s="99" customFormat="1" ht="15">
      <c r="A5" s="100"/>
      <c r="B5" s="98">
        <v>2</v>
      </c>
      <c r="C5" s="98">
        <v>2</v>
      </c>
      <c r="D5" s="98">
        <v>2</v>
      </c>
      <c r="E5" s="98">
        <v>2</v>
      </c>
      <c r="F5" s="98">
        <v>2</v>
      </c>
      <c r="G5" s="98">
        <v>2</v>
      </c>
      <c r="H5" s="98">
        <v>2</v>
      </c>
      <c r="I5" s="98">
        <v>2</v>
      </c>
      <c r="J5" s="98">
        <v>2</v>
      </c>
      <c r="K5" s="98">
        <v>2</v>
      </c>
      <c r="L5" s="98">
        <v>2</v>
      </c>
    </row>
    <row r="6" spans="1:12" s="99" customFormat="1" ht="15">
      <c r="A6" s="100"/>
      <c r="B6" s="92">
        <v>3</v>
      </c>
      <c r="C6" s="92">
        <v>3</v>
      </c>
      <c r="D6" s="92">
        <v>3</v>
      </c>
      <c r="E6" s="92">
        <v>3</v>
      </c>
      <c r="F6" s="92">
        <v>3</v>
      </c>
      <c r="G6" s="92">
        <v>3</v>
      </c>
      <c r="H6" s="92">
        <v>3</v>
      </c>
      <c r="I6" s="92">
        <v>3</v>
      </c>
      <c r="J6" s="92">
        <v>3</v>
      </c>
      <c r="K6" s="92">
        <v>3</v>
      </c>
      <c r="L6" s="92">
        <v>3</v>
      </c>
    </row>
    <row r="7" spans="1:12" s="99" customFormat="1" ht="15">
      <c r="A7" s="102"/>
      <c r="B7" s="93">
        <v>1</v>
      </c>
      <c r="C7" s="93">
        <v>1</v>
      </c>
      <c r="D7" s="93">
        <v>1</v>
      </c>
      <c r="E7" s="93">
        <v>1</v>
      </c>
      <c r="F7" s="93">
        <v>1</v>
      </c>
      <c r="G7" s="93">
        <v>1</v>
      </c>
      <c r="H7" s="93">
        <v>1</v>
      </c>
      <c r="I7" s="93">
        <v>1</v>
      </c>
      <c r="J7" s="93">
        <v>1</v>
      </c>
      <c r="K7" s="93">
        <v>1</v>
      </c>
      <c r="L7" s="93">
        <v>1</v>
      </c>
    </row>
    <row r="8" spans="1:12" s="99" customFormat="1" ht="15">
      <c r="A8" s="97" t="s">
        <v>33</v>
      </c>
      <c r="B8" s="98" t="s">
        <v>53</v>
      </c>
      <c r="C8" s="98" t="s">
        <v>53</v>
      </c>
      <c r="D8" s="98" t="s">
        <v>53</v>
      </c>
      <c r="E8" s="98" t="s">
        <v>53</v>
      </c>
      <c r="F8" s="98" t="s">
        <v>53</v>
      </c>
      <c r="G8" s="98" t="s">
        <v>53</v>
      </c>
      <c r="H8" s="98" t="s">
        <v>53</v>
      </c>
      <c r="I8" s="98" t="s">
        <v>53</v>
      </c>
      <c r="J8" s="98" t="s">
        <v>53</v>
      </c>
      <c r="K8" s="98" t="s">
        <v>53</v>
      </c>
      <c r="L8" s="98" t="s">
        <v>53</v>
      </c>
    </row>
    <row r="9" spans="1:12" s="99" customFormat="1" ht="15">
      <c r="A9" s="100"/>
      <c r="B9" s="103">
        <v>1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3">
        <v>1</v>
      </c>
      <c r="L9" s="103">
        <v>1</v>
      </c>
    </row>
    <row r="10" spans="1:12" s="99" customFormat="1" ht="15">
      <c r="A10" s="97" t="s">
        <v>34</v>
      </c>
      <c r="B10" s="98" t="s">
        <v>16</v>
      </c>
      <c r="C10" s="98" t="s">
        <v>16</v>
      </c>
      <c r="D10" s="98" t="s">
        <v>16</v>
      </c>
      <c r="E10" s="98" t="s">
        <v>16</v>
      </c>
      <c r="F10" s="98" t="s">
        <v>16</v>
      </c>
      <c r="G10" s="98" t="s">
        <v>16</v>
      </c>
      <c r="H10" s="98" t="s">
        <v>16</v>
      </c>
      <c r="I10" s="98" t="s">
        <v>16</v>
      </c>
      <c r="J10" s="98" t="s">
        <v>16</v>
      </c>
      <c r="K10" s="98" t="s">
        <v>16</v>
      </c>
      <c r="L10" s="98" t="s">
        <v>16</v>
      </c>
    </row>
    <row r="11" spans="1:12" s="99" customFormat="1" ht="15">
      <c r="A11" s="100"/>
      <c r="B11" s="93" t="s">
        <v>17</v>
      </c>
      <c r="C11" s="93" t="s">
        <v>17</v>
      </c>
      <c r="D11" s="93" t="s">
        <v>17</v>
      </c>
      <c r="E11" s="93" t="s">
        <v>17</v>
      </c>
      <c r="F11" s="93" t="s">
        <v>17</v>
      </c>
      <c r="G11" s="93" t="s">
        <v>17</v>
      </c>
      <c r="H11" s="93" t="s">
        <v>17</v>
      </c>
      <c r="I11" s="93" t="s">
        <v>17</v>
      </c>
      <c r="J11" s="93" t="s">
        <v>17</v>
      </c>
      <c r="K11" s="93" t="s">
        <v>17</v>
      </c>
      <c r="L11" s="93" t="s">
        <v>17</v>
      </c>
    </row>
    <row r="12" spans="1:12" s="99" customFormat="1" ht="15">
      <c r="A12" s="100"/>
      <c r="B12" s="98" t="s">
        <v>0</v>
      </c>
      <c r="C12" s="98" t="s">
        <v>0</v>
      </c>
      <c r="D12" s="98" t="s">
        <v>0</v>
      </c>
      <c r="E12" s="98" t="s">
        <v>0</v>
      </c>
      <c r="F12" s="98" t="s">
        <v>0</v>
      </c>
      <c r="G12" s="98" t="s">
        <v>0</v>
      </c>
      <c r="H12" s="98" t="s">
        <v>0</v>
      </c>
      <c r="I12" s="98" t="s">
        <v>0</v>
      </c>
      <c r="J12" s="98" t="s">
        <v>0</v>
      </c>
      <c r="K12" s="98" t="s">
        <v>0</v>
      </c>
      <c r="L12" s="98" t="s">
        <v>0</v>
      </c>
    </row>
    <row r="13" spans="1:12" s="99" customFormat="1" ht="15">
      <c r="A13" s="100"/>
      <c r="B13" s="92" t="s">
        <v>18</v>
      </c>
      <c r="C13" s="92" t="s">
        <v>18</v>
      </c>
      <c r="D13" s="92" t="s">
        <v>18</v>
      </c>
      <c r="E13" s="92" t="s">
        <v>18</v>
      </c>
      <c r="F13" s="92" t="s">
        <v>18</v>
      </c>
      <c r="G13" s="92" t="s">
        <v>18</v>
      </c>
      <c r="H13" s="92" t="s">
        <v>18</v>
      </c>
      <c r="I13" s="92" t="s">
        <v>18</v>
      </c>
      <c r="J13" s="92" t="s">
        <v>18</v>
      </c>
      <c r="K13" s="92" t="s">
        <v>18</v>
      </c>
      <c r="L13" s="92" t="s">
        <v>18</v>
      </c>
    </row>
    <row r="14" spans="1:12" s="99" customFormat="1" ht="15">
      <c r="A14" s="97" t="s">
        <v>1</v>
      </c>
      <c r="B14" s="98" t="s">
        <v>14</v>
      </c>
      <c r="C14" s="98" t="s">
        <v>14</v>
      </c>
      <c r="D14" s="98" t="s">
        <v>14</v>
      </c>
      <c r="E14" s="98" t="s">
        <v>14</v>
      </c>
      <c r="F14" s="98" t="s">
        <v>14</v>
      </c>
      <c r="G14" s="98" t="s">
        <v>14</v>
      </c>
      <c r="H14" s="98" t="s">
        <v>14</v>
      </c>
      <c r="I14" s="98" t="s">
        <v>14</v>
      </c>
      <c r="J14" s="98" t="s">
        <v>14</v>
      </c>
      <c r="K14" s="98" t="s">
        <v>14</v>
      </c>
      <c r="L14" s="98" t="s">
        <v>14</v>
      </c>
    </row>
    <row r="15" spans="1:12" s="99" customFormat="1" ht="15">
      <c r="A15" s="100"/>
      <c r="B15" s="98" t="s">
        <v>15</v>
      </c>
      <c r="C15" s="98" t="s">
        <v>15</v>
      </c>
      <c r="D15" s="98" t="s">
        <v>15</v>
      </c>
      <c r="E15" s="98" t="s">
        <v>15</v>
      </c>
      <c r="F15" s="98" t="s">
        <v>15</v>
      </c>
      <c r="G15" s="98" t="s">
        <v>15</v>
      </c>
      <c r="H15" s="98" t="s">
        <v>15</v>
      </c>
      <c r="I15" s="98" t="s">
        <v>15</v>
      </c>
      <c r="J15" s="98" t="s">
        <v>15</v>
      </c>
      <c r="K15" s="98" t="s">
        <v>15</v>
      </c>
      <c r="L15" s="98" t="s">
        <v>15</v>
      </c>
    </row>
    <row r="16" spans="1:12" s="99" customFormat="1" ht="15">
      <c r="A16" s="97" t="s">
        <v>80</v>
      </c>
      <c r="B16" s="98" t="s">
        <v>4</v>
      </c>
      <c r="C16" s="98" t="s">
        <v>4</v>
      </c>
      <c r="D16" s="98" t="s">
        <v>4</v>
      </c>
      <c r="E16" s="98" t="s">
        <v>4</v>
      </c>
      <c r="F16" s="98" t="s">
        <v>4</v>
      </c>
      <c r="G16" s="98" t="s">
        <v>4</v>
      </c>
      <c r="H16" s="98" t="s">
        <v>4</v>
      </c>
      <c r="I16" s="98" t="s">
        <v>4</v>
      </c>
      <c r="J16" s="98" t="s">
        <v>4</v>
      </c>
      <c r="K16" s="98" t="s">
        <v>4</v>
      </c>
      <c r="L16" s="98" t="s">
        <v>4</v>
      </c>
    </row>
    <row r="17" spans="1:12" s="99" customFormat="1" ht="15">
      <c r="A17" s="100"/>
      <c r="B17" s="92" t="s">
        <v>6</v>
      </c>
      <c r="C17" s="92" t="s">
        <v>6</v>
      </c>
      <c r="D17" s="92" t="s">
        <v>6</v>
      </c>
      <c r="E17" s="92" t="s">
        <v>6</v>
      </c>
      <c r="F17" s="92" t="s">
        <v>6</v>
      </c>
      <c r="G17" s="92" t="s">
        <v>6</v>
      </c>
      <c r="H17" s="92" t="s">
        <v>6</v>
      </c>
      <c r="I17" s="92" t="s">
        <v>6</v>
      </c>
      <c r="J17" s="92" t="s">
        <v>6</v>
      </c>
      <c r="K17" s="92" t="s">
        <v>6</v>
      </c>
      <c r="L17" s="92" t="s">
        <v>6</v>
      </c>
    </row>
    <row r="18" spans="1:12" s="99" customFormat="1" ht="15">
      <c r="A18" s="100"/>
      <c r="B18" s="92" t="s">
        <v>110</v>
      </c>
      <c r="C18" s="92" t="s">
        <v>76</v>
      </c>
      <c r="D18" s="92" t="s">
        <v>76</v>
      </c>
      <c r="E18" s="92" t="s">
        <v>76</v>
      </c>
      <c r="F18" s="92" t="s">
        <v>76</v>
      </c>
      <c r="G18" s="92" t="s">
        <v>76</v>
      </c>
      <c r="H18" s="92" t="s">
        <v>76</v>
      </c>
      <c r="I18" s="92" t="s">
        <v>76</v>
      </c>
      <c r="J18" s="92" t="s">
        <v>76</v>
      </c>
      <c r="K18" s="92" t="s">
        <v>76</v>
      </c>
      <c r="L18" s="92" t="s">
        <v>76</v>
      </c>
    </row>
    <row r="19" spans="1:12" s="99" customFormat="1" ht="15">
      <c r="A19" s="100"/>
      <c r="B19" s="92" t="s">
        <v>111</v>
      </c>
      <c r="C19" s="92" t="s">
        <v>75</v>
      </c>
      <c r="D19" s="92" t="s">
        <v>75</v>
      </c>
      <c r="E19" s="92" t="s">
        <v>75</v>
      </c>
      <c r="F19" s="92" t="s">
        <v>75</v>
      </c>
      <c r="G19" s="92" t="s">
        <v>75</v>
      </c>
      <c r="H19" s="92" t="s">
        <v>75</v>
      </c>
      <c r="I19" s="92" t="s">
        <v>75</v>
      </c>
      <c r="J19" s="92" t="s">
        <v>75</v>
      </c>
      <c r="K19" s="92" t="s">
        <v>75</v>
      </c>
      <c r="L19" s="92" t="s">
        <v>75</v>
      </c>
    </row>
    <row r="20" spans="1:12" s="99" customFormat="1" ht="15">
      <c r="A20" s="102"/>
      <c r="B20" s="104" t="s">
        <v>5</v>
      </c>
      <c r="C20" s="104" t="s">
        <v>5</v>
      </c>
      <c r="D20" s="104" t="s">
        <v>5</v>
      </c>
      <c r="E20" s="104" t="s">
        <v>5</v>
      </c>
      <c r="F20" s="104" t="s">
        <v>5</v>
      </c>
      <c r="G20" s="104" t="s">
        <v>5</v>
      </c>
      <c r="H20" s="104" t="s">
        <v>5</v>
      </c>
      <c r="I20" s="104" t="s">
        <v>5</v>
      </c>
      <c r="J20" s="104" t="s">
        <v>5</v>
      </c>
      <c r="K20" s="104" t="s">
        <v>5</v>
      </c>
      <c r="L20" s="104" t="s">
        <v>5</v>
      </c>
    </row>
    <row r="21" spans="1:12" s="99" customFormat="1" ht="15">
      <c r="A21" s="97" t="s">
        <v>81</v>
      </c>
      <c r="B21" s="98" t="s">
        <v>4</v>
      </c>
      <c r="C21" s="98" t="s">
        <v>4</v>
      </c>
      <c r="D21" s="98" t="s">
        <v>4</v>
      </c>
      <c r="E21" s="98" t="s">
        <v>4</v>
      </c>
      <c r="F21" s="98" t="s">
        <v>4</v>
      </c>
      <c r="G21" s="98" t="s">
        <v>4</v>
      </c>
      <c r="H21" s="98" t="s">
        <v>4</v>
      </c>
      <c r="I21" s="98" t="s">
        <v>4</v>
      </c>
      <c r="J21" s="98" t="s">
        <v>4</v>
      </c>
      <c r="K21" s="92" t="s">
        <v>37</v>
      </c>
      <c r="L21" s="92" t="s">
        <v>37</v>
      </c>
    </row>
    <row r="22" spans="1:12" s="99" customFormat="1" ht="15">
      <c r="A22" s="100"/>
      <c r="B22" s="92" t="s">
        <v>37</v>
      </c>
      <c r="C22" s="92" t="s">
        <v>37</v>
      </c>
      <c r="D22" s="92" t="s">
        <v>37</v>
      </c>
      <c r="E22" s="92" t="s">
        <v>37</v>
      </c>
      <c r="F22" s="92" t="s">
        <v>37</v>
      </c>
      <c r="G22" s="92" t="s">
        <v>37</v>
      </c>
      <c r="H22" s="92" t="s">
        <v>37</v>
      </c>
      <c r="I22" s="92" t="s">
        <v>37</v>
      </c>
      <c r="J22" s="92" t="s">
        <v>37</v>
      </c>
      <c r="K22" s="92" t="s">
        <v>148</v>
      </c>
      <c r="L22" s="92" t="s">
        <v>148</v>
      </c>
    </row>
    <row r="23" spans="1:12" s="99" customFormat="1" ht="15">
      <c r="A23" s="100"/>
      <c r="B23" s="103" t="s">
        <v>5</v>
      </c>
      <c r="C23" s="103" t="s">
        <v>5</v>
      </c>
      <c r="D23" s="103" t="s">
        <v>5</v>
      </c>
      <c r="E23" s="103" t="s">
        <v>5</v>
      </c>
      <c r="F23" s="103" t="s">
        <v>5</v>
      </c>
      <c r="G23" s="103" t="s">
        <v>5</v>
      </c>
      <c r="H23" s="103" t="s">
        <v>5</v>
      </c>
      <c r="I23" s="92" t="s">
        <v>148</v>
      </c>
      <c r="J23" s="92" t="s">
        <v>148</v>
      </c>
      <c r="K23" s="103" t="s">
        <v>5</v>
      </c>
      <c r="L23" s="103" t="s">
        <v>5</v>
      </c>
    </row>
    <row r="24" spans="1:12" s="99" customFormat="1" ht="15">
      <c r="A24" s="100"/>
      <c r="B24" s="103" t="s">
        <v>5</v>
      </c>
      <c r="C24" s="103" t="s">
        <v>5</v>
      </c>
      <c r="D24" s="103" t="s">
        <v>5</v>
      </c>
      <c r="E24" s="103" t="s">
        <v>5</v>
      </c>
      <c r="F24" s="103" t="s">
        <v>5</v>
      </c>
      <c r="G24" s="103" t="s">
        <v>5</v>
      </c>
      <c r="H24" s="103" t="s">
        <v>5</v>
      </c>
      <c r="I24" s="103" t="s">
        <v>5</v>
      </c>
      <c r="J24" s="103" t="s">
        <v>5</v>
      </c>
      <c r="K24" s="103" t="s">
        <v>5</v>
      </c>
      <c r="L24" s="103" t="s">
        <v>5</v>
      </c>
    </row>
    <row r="25" spans="1:12" s="99" customFormat="1" ht="15">
      <c r="A25" s="102"/>
      <c r="B25" s="104" t="s">
        <v>5</v>
      </c>
      <c r="C25" s="104" t="s">
        <v>5</v>
      </c>
      <c r="D25" s="104" t="s">
        <v>5</v>
      </c>
      <c r="E25" s="104" t="s">
        <v>5</v>
      </c>
      <c r="F25" s="104" t="s">
        <v>5</v>
      </c>
      <c r="G25" s="104" t="s">
        <v>5</v>
      </c>
      <c r="H25" s="104" t="s">
        <v>5</v>
      </c>
      <c r="I25" s="104" t="s">
        <v>5</v>
      </c>
      <c r="J25" s="104" t="s">
        <v>5</v>
      </c>
      <c r="K25" s="104" t="s">
        <v>5</v>
      </c>
      <c r="L25" s="104" t="s">
        <v>5</v>
      </c>
    </row>
    <row r="26" spans="1:12" s="99" customFormat="1" ht="15">
      <c r="A26" s="97" t="s">
        <v>54</v>
      </c>
      <c r="B26" s="98" t="s">
        <v>19</v>
      </c>
      <c r="C26" s="98" t="s">
        <v>19</v>
      </c>
      <c r="D26" s="98" t="s">
        <v>19</v>
      </c>
      <c r="E26" s="98" t="s">
        <v>19</v>
      </c>
      <c r="F26" s="98" t="s">
        <v>19</v>
      </c>
      <c r="G26" s="98" t="s">
        <v>19</v>
      </c>
      <c r="H26" s="98" t="s">
        <v>19</v>
      </c>
      <c r="I26" s="98" t="s">
        <v>125</v>
      </c>
      <c r="J26" s="98" t="s">
        <v>125</v>
      </c>
      <c r="K26" s="98" t="s">
        <v>125</v>
      </c>
      <c r="L26" s="98" t="s">
        <v>125</v>
      </c>
    </row>
    <row r="27" spans="1:12" s="99" customFormat="1" ht="15">
      <c r="A27" s="100"/>
      <c r="B27" s="92" t="s">
        <v>112</v>
      </c>
      <c r="C27" s="92" t="s">
        <v>77</v>
      </c>
      <c r="D27" s="92" t="s">
        <v>77</v>
      </c>
      <c r="E27" s="92" t="s">
        <v>112</v>
      </c>
      <c r="F27" s="92" t="s">
        <v>112</v>
      </c>
      <c r="G27" s="92" t="s">
        <v>112</v>
      </c>
      <c r="H27" s="92" t="s">
        <v>112</v>
      </c>
      <c r="I27" s="92" t="s">
        <v>128</v>
      </c>
      <c r="J27" s="92" t="s">
        <v>128</v>
      </c>
      <c r="K27" s="92" t="s">
        <v>128</v>
      </c>
      <c r="L27" s="92" t="s">
        <v>128</v>
      </c>
    </row>
    <row r="28" spans="1:12" s="99" customFormat="1" ht="15">
      <c r="A28" s="100"/>
      <c r="B28" s="92" t="s">
        <v>113</v>
      </c>
      <c r="C28" s="92" t="s">
        <v>78</v>
      </c>
      <c r="D28" s="92" t="s">
        <v>78</v>
      </c>
      <c r="E28" s="92" t="s">
        <v>113</v>
      </c>
      <c r="F28" s="92" t="s">
        <v>113</v>
      </c>
      <c r="G28" s="92" t="s">
        <v>113</v>
      </c>
      <c r="H28" s="92" t="s">
        <v>113</v>
      </c>
      <c r="I28" s="92" t="s">
        <v>78</v>
      </c>
      <c r="J28" s="92" t="s">
        <v>78</v>
      </c>
      <c r="K28" s="92" t="s">
        <v>78</v>
      </c>
      <c r="L28" s="92" t="s">
        <v>78</v>
      </c>
    </row>
    <row r="29" spans="1:12" s="99" customFormat="1" ht="15">
      <c r="A29" s="100"/>
      <c r="B29" s="93" t="s">
        <v>20</v>
      </c>
      <c r="C29" s="93" t="s">
        <v>20</v>
      </c>
      <c r="D29" s="93" t="s">
        <v>20</v>
      </c>
      <c r="E29" s="93" t="s">
        <v>20</v>
      </c>
      <c r="F29" s="93" t="s">
        <v>20</v>
      </c>
      <c r="G29" s="93" t="s">
        <v>20</v>
      </c>
      <c r="H29" s="93" t="s">
        <v>20</v>
      </c>
      <c r="I29" s="93" t="s">
        <v>127</v>
      </c>
      <c r="J29" s="93" t="s">
        <v>127</v>
      </c>
      <c r="K29" s="93" t="s">
        <v>127</v>
      </c>
      <c r="L29" s="93" t="s">
        <v>127</v>
      </c>
    </row>
    <row r="30" spans="1:12" s="99" customFormat="1" ht="15">
      <c r="A30" s="100"/>
      <c r="B30" s="98">
        <v>1</v>
      </c>
      <c r="C30" s="98">
        <v>1</v>
      </c>
      <c r="D30" s="98">
        <v>1</v>
      </c>
      <c r="E30" s="98">
        <v>1</v>
      </c>
      <c r="F30" s="98">
        <v>1</v>
      </c>
      <c r="G30" s="98">
        <v>1</v>
      </c>
      <c r="H30" s="98">
        <v>1</v>
      </c>
      <c r="I30" s="98">
        <v>1</v>
      </c>
      <c r="J30" s="98">
        <v>1</v>
      </c>
      <c r="K30" s="98">
        <v>1</v>
      </c>
      <c r="L30" s="98">
        <v>1</v>
      </c>
    </row>
    <row r="31" spans="1:12" s="99" customFormat="1" ht="15">
      <c r="A31" s="100"/>
      <c r="B31" s="92">
        <v>2</v>
      </c>
      <c r="C31" s="92">
        <v>2</v>
      </c>
      <c r="D31" s="92">
        <v>2</v>
      </c>
      <c r="E31" s="92">
        <v>2</v>
      </c>
      <c r="F31" s="92">
        <v>2</v>
      </c>
      <c r="G31" s="92">
        <v>2</v>
      </c>
      <c r="H31" s="92">
        <v>2</v>
      </c>
      <c r="I31" s="92">
        <v>2</v>
      </c>
      <c r="J31" s="92">
        <v>2</v>
      </c>
      <c r="K31" s="92">
        <v>2</v>
      </c>
      <c r="L31" s="92">
        <v>2</v>
      </c>
    </row>
    <row r="32" spans="1:12" s="99" customFormat="1" ht="15">
      <c r="A32" s="100"/>
      <c r="B32" s="92">
        <v>3</v>
      </c>
      <c r="C32" s="92">
        <v>3</v>
      </c>
      <c r="D32" s="92">
        <v>3</v>
      </c>
      <c r="E32" s="92">
        <v>3</v>
      </c>
      <c r="F32" s="92">
        <v>3</v>
      </c>
      <c r="G32" s="92">
        <v>3</v>
      </c>
      <c r="H32" s="92">
        <v>3</v>
      </c>
      <c r="I32" s="92">
        <v>3</v>
      </c>
      <c r="J32" s="92">
        <v>3</v>
      </c>
      <c r="K32" s="92">
        <v>3</v>
      </c>
      <c r="L32" s="92">
        <v>3</v>
      </c>
    </row>
    <row r="33" spans="1:12" s="99" customFormat="1" ht="15">
      <c r="A33" s="102"/>
      <c r="B33" s="93">
        <v>4</v>
      </c>
      <c r="C33" s="93">
        <v>4</v>
      </c>
      <c r="D33" s="93">
        <v>4</v>
      </c>
      <c r="E33" s="93">
        <v>4</v>
      </c>
      <c r="F33" s="93">
        <v>4</v>
      </c>
      <c r="G33" s="93">
        <v>4</v>
      </c>
      <c r="H33" s="93">
        <v>4</v>
      </c>
      <c r="I33" s="93">
        <v>4</v>
      </c>
      <c r="J33" s="93">
        <v>4</v>
      </c>
      <c r="K33" s="93">
        <v>4</v>
      </c>
      <c r="L33" s="93">
        <v>4</v>
      </c>
    </row>
    <row r="34" spans="1:12" s="99" customFormat="1" ht="15">
      <c r="A34" s="97" t="s">
        <v>83</v>
      </c>
      <c r="B34" s="98" t="s">
        <v>9</v>
      </c>
      <c r="C34" s="98" t="s">
        <v>9</v>
      </c>
      <c r="D34" s="98" t="s">
        <v>9</v>
      </c>
      <c r="E34" s="98" t="s">
        <v>9</v>
      </c>
      <c r="F34" s="98" t="s">
        <v>9</v>
      </c>
      <c r="G34" s="98" t="s">
        <v>9</v>
      </c>
      <c r="H34" s="98" t="s">
        <v>9</v>
      </c>
      <c r="I34" s="98" t="s">
        <v>9</v>
      </c>
      <c r="J34" s="98" t="s">
        <v>9</v>
      </c>
      <c r="K34" s="98" t="s">
        <v>9</v>
      </c>
      <c r="L34" s="98" t="s">
        <v>9</v>
      </c>
    </row>
    <row r="35" spans="1:12" s="99" customFormat="1" ht="15">
      <c r="A35" s="100"/>
      <c r="B35" s="92" t="s">
        <v>21</v>
      </c>
      <c r="C35" s="92" t="s">
        <v>21</v>
      </c>
      <c r="D35" s="92" t="s">
        <v>21</v>
      </c>
      <c r="E35" s="92" t="s">
        <v>21</v>
      </c>
      <c r="F35" s="92" t="s">
        <v>21</v>
      </c>
      <c r="G35" s="92" t="s">
        <v>21</v>
      </c>
      <c r="H35" s="92" t="s">
        <v>21</v>
      </c>
      <c r="I35" s="92" t="s">
        <v>21</v>
      </c>
      <c r="J35" s="92" t="s">
        <v>21</v>
      </c>
      <c r="K35" s="92" t="s">
        <v>21</v>
      </c>
      <c r="L35" s="92" t="s">
        <v>21</v>
      </c>
    </row>
    <row r="36" spans="1:12" s="99" customFormat="1" ht="15">
      <c r="A36" s="100"/>
      <c r="B36" s="92" t="s">
        <v>10</v>
      </c>
      <c r="C36" s="92" t="s">
        <v>10</v>
      </c>
      <c r="D36" s="92" t="s">
        <v>10</v>
      </c>
      <c r="E36" s="92" t="s">
        <v>10</v>
      </c>
      <c r="F36" s="92" t="s">
        <v>10</v>
      </c>
      <c r="G36" s="92" t="s">
        <v>10</v>
      </c>
      <c r="H36" s="92" t="s">
        <v>10</v>
      </c>
      <c r="I36" s="92" t="s">
        <v>10</v>
      </c>
      <c r="J36" s="92" t="s">
        <v>10</v>
      </c>
      <c r="K36" s="92" t="s">
        <v>10</v>
      </c>
      <c r="L36" s="92" t="s">
        <v>10</v>
      </c>
    </row>
    <row r="37" spans="1:12" s="99" customFormat="1" ht="15">
      <c r="A37" s="100"/>
      <c r="B37" s="92" t="s">
        <v>11</v>
      </c>
      <c r="C37" s="92" t="s">
        <v>11</v>
      </c>
      <c r="D37" s="92" t="s">
        <v>11</v>
      </c>
      <c r="E37" s="92" t="s">
        <v>11</v>
      </c>
      <c r="F37" s="92" t="s">
        <v>11</v>
      </c>
      <c r="G37" s="92" t="s">
        <v>11</v>
      </c>
      <c r="H37" s="92" t="s">
        <v>11</v>
      </c>
      <c r="I37" s="92" t="s">
        <v>11</v>
      </c>
      <c r="J37" s="92" t="s">
        <v>11</v>
      </c>
      <c r="K37" s="92" t="s">
        <v>11</v>
      </c>
      <c r="L37" s="92" t="s">
        <v>11</v>
      </c>
    </row>
    <row r="38" spans="1:12" s="99" customFormat="1" ht="15">
      <c r="A38" s="100"/>
      <c r="B38" s="92" t="s">
        <v>22</v>
      </c>
      <c r="C38" s="92" t="s">
        <v>22</v>
      </c>
      <c r="D38" s="92" t="s">
        <v>22</v>
      </c>
      <c r="E38" s="92" t="s">
        <v>22</v>
      </c>
      <c r="F38" s="92" t="s">
        <v>22</v>
      </c>
      <c r="G38" s="92" t="s">
        <v>22</v>
      </c>
      <c r="H38" s="92" t="s">
        <v>22</v>
      </c>
      <c r="I38" s="92" t="s">
        <v>22</v>
      </c>
      <c r="J38" s="92" t="s">
        <v>22</v>
      </c>
      <c r="K38" s="92" t="s">
        <v>22</v>
      </c>
      <c r="L38" s="92" t="s">
        <v>22</v>
      </c>
    </row>
    <row r="39" spans="1:12" s="99" customFormat="1" ht="15">
      <c r="A39" s="100"/>
      <c r="B39" s="92" t="s">
        <v>12</v>
      </c>
      <c r="C39" s="92" t="s">
        <v>12</v>
      </c>
      <c r="D39" s="92" t="s">
        <v>12</v>
      </c>
      <c r="E39" s="92" t="s">
        <v>12</v>
      </c>
      <c r="F39" s="92" t="s">
        <v>12</v>
      </c>
      <c r="G39" s="92" t="s">
        <v>12</v>
      </c>
      <c r="H39" s="92" t="s">
        <v>12</v>
      </c>
      <c r="I39" s="92" t="s">
        <v>12</v>
      </c>
      <c r="J39" s="92" t="s">
        <v>12</v>
      </c>
      <c r="K39" s="92" t="s">
        <v>12</v>
      </c>
      <c r="L39" s="92" t="s">
        <v>12</v>
      </c>
    </row>
    <row r="40" spans="1:12" s="99" customFormat="1" ht="15">
      <c r="A40" s="100"/>
      <c r="B40" s="92" t="s">
        <v>13</v>
      </c>
      <c r="C40" s="92" t="s">
        <v>13</v>
      </c>
      <c r="D40" s="92" t="s">
        <v>13</v>
      </c>
      <c r="E40" s="92" t="s">
        <v>13</v>
      </c>
      <c r="F40" s="92" t="s">
        <v>13</v>
      </c>
      <c r="G40" s="92" t="s">
        <v>13</v>
      </c>
      <c r="H40" s="92" t="s">
        <v>13</v>
      </c>
      <c r="I40" s="92" t="s">
        <v>13</v>
      </c>
      <c r="J40" s="92" t="s">
        <v>13</v>
      </c>
      <c r="K40" s="92" t="s">
        <v>13</v>
      </c>
      <c r="L40" s="92" t="s">
        <v>13</v>
      </c>
    </row>
    <row r="41" spans="1:12" s="99" customFormat="1" ht="15">
      <c r="A41" s="100"/>
      <c r="B41" s="101" t="s">
        <v>23</v>
      </c>
      <c r="C41" s="101" t="s">
        <v>23</v>
      </c>
      <c r="D41" s="101" t="s">
        <v>103</v>
      </c>
      <c r="E41" s="101" t="s">
        <v>118</v>
      </c>
      <c r="F41" s="87" t="str">
        <f>IF(Configurator!$J$5=1,"Portuguese : not available","Portuguese")</f>
        <v>Portuguese</v>
      </c>
      <c r="G41" s="87" t="str">
        <f>IF(Configurator!$J$5=1,"Portuguese : not available","Portuguese")</f>
        <v>Portuguese</v>
      </c>
      <c r="H41" s="87" t="str">
        <f>IF(Configurator!$J$5=1,"Portuguese : not available","Portuguese")</f>
        <v>Portuguese</v>
      </c>
      <c r="I41" s="87" t="str">
        <f>IF(Configurator!$J$5=1,"Portuguese : not available","Portuguese")</f>
        <v>Portuguese</v>
      </c>
      <c r="J41" s="87" t="str">
        <f>IF(Configurator!$J$5=1,"Portuguese : not available","Portuguese")</f>
        <v>Portuguese</v>
      </c>
      <c r="K41" s="87" t="str">
        <f>IF(Configurator!$J$5=1,"Portuguese : not available","Portuguese")</f>
        <v>Portuguese</v>
      </c>
      <c r="L41" s="87" t="str">
        <f>IF(Configurator!$J$5=1,"Portuguese : not available","Portuguese")</f>
        <v>Portuguese</v>
      </c>
    </row>
    <row r="42" spans="1:12" s="99" customFormat="1" ht="15">
      <c r="A42" s="100"/>
      <c r="B42" s="101" t="s">
        <v>24</v>
      </c>
      <c r="C42" s="101" t="s">
        <v>24</v>
      </c>
      <c r="D42" s="101" t="s">
        <v>24</v>
      </c>
      <c r="E42" s="101" t="s">
        <v>24</v>
      </c>
      <c r="F42" s="101" t="s">
        <v>24</v>
      </c>
      <c r="G42" s="101" t="s">
        <v>24</v>
      </c>
      <c r="H42" s="101" t="s">
        <v>24</v>
      </c>
      <c r="I42" s="101" t="s">
        <v>24</v>
      </c>
      <c r="J42" s="101" t="s">
        <v>24</v>
      </c>
      <c r="K42" s="101" t="s">
        <v>24</v>
      </c>
      <c r="L42" s="101" t="s">
        <v>24</v>
      </c>
    </row>
    <row r="43" spans="1:12" s="99" customFormat="1" ht="15">
      <c r="A43" s="100"/>
      <c r="B43" s="101" t="s">
        <v>25</v>
      </c>
      <c r="C43" s="101" t="s">
        <v>25</v>
      </c>
      <c r="D43" s="101" t="s">
        <v>25</v>
      </c>
      <c r="E43" s="101" t="s">
        <v>25</v>
      </c>
      <c r="F43" s="101" t="s">
        <v>25</v>
      </c>
      <c r="G43" s="101" t="s">
        <v>25</v>
      </c>
      <c r="H43" s="101" t="s">
        <v>25</v>
      </c>
      <c r="I43" s="101" t="s">
        <v>25</v>
      </c>
      <c r="J43" s="101" t="s">
        <v>25</v>
      </c>
      <c r="K43" s="101" t="s">
        <v>25</v>
      </c>
      <c r="L43" s="101" t="s">
        <v>25</v>
      </c>
    </row>
    <row r="44" spans="1:12" s="99" customFormat="1" ht="15">
      <c r="A44" s="100"/>
      <c r="B44" s="101" t="s">
        <v>26</v>
      </c>
      <c r="C44" s="101" t="s">
        <v>26</v>
      </c>
      <c r="D44" s="101" t="s">
        <v>100</v>
      </c>
      <c r="E44" s="101" t="s">
        <v>119</v>
      </c>
      <c r="F44" s="101" t="s">
        <v>119</v>
      </c>
      <c r="G44" s="101" t="s">
        <v>119</v>
      </c>
      <c r="H44" s="101" t="s">
        <v>119</v>
      </c>
      <c r="I44" s="101" t="s">
        <v>119</v>
      </c>
      <c r="J44" s="101" t="s">
        <v>119</v>
      </c>
      <c r="K44" s="101" t="s">
        <v>119</v>
      </c>
      <c r="L44" s="101" t="s">
        <v>119</v>
      </c>
    </row>
    <row r="45" spans="1:12" s="99" customFormat="1" ht="15">
      <c r="A45" s="100"/>
      <c r="B45" s="101" t="s">
        <v>48</v>
      </c>
      <c r="C45" s="101" t="s">
        <v>48</v>
      </c>
      <c r="D45" s="101" t="s">
        <v>101</v>
      </c>
      <c r="E45" s="101" t="s">
        <v>120</v>
      </c>
      <c r="F45" s="101" t="s">
        <v>120</v>
      </c>
      <c r="G45" s="101" t="s">
        <v>120</v>
      </c>
      <c r="H45" s="101" t="s">
        <v>120</v>
      </c>
      <c r="I45" s="101" t="s">
        <v>120</v>
      </c>
      <c r="J45" s="101" t="s">
        <v>120</v>
      </c>
      <c r="K45" s="101" t="s">
        <v>120</v>
      </c>
      <c r="L45" s="101" t="s">
        <v>120</v>
      </c>
    </row>
    <row r="46" spans="1:12" s="99" customFormat="1" ht="15">
      <c r="A46" s="100"/>
      <c r="B46" s="101" t="s">
        <v>114</v>
      </c>
      <c r="C46" s="101" t="s">
        <v>86</v>
      </c>
      <c r="D46" s="101" t="s">
        <v>86</v>
      </c>
      <c r="E46" s="101" t="s">
        <v>86</v>
      </c>
      <c r="F46" s="101" t="s">
        <v>86</v>
      </c>
      <c r="G46" s="101" t="s">
        <v>86</v>
      </c>
      <c r="H46" s="101" t="s">
        <v>86</v>
      </c>
      <c r="I46" s="101" t="s">
        <v>86</v>
      </c>
      <c r="J46" s="101" t="s">
        <v>86</v>
      </c>
      <c r="K46" s="101" t="s">
        <v>86</v>
      </c>
      <c r="L46" s="101" t="s">
        <v>86</v>
      </c>
    </row>
    <row r="47" spans="1:12" s="99" customFormat="1" ht="15">
      <c r="A47" s="100"/>
      <c r="B47" s="105" t="s">
        <v>5</v>
      </c>
      <c r="C47" s="105" t="s">
        <v>5</v>
      </c>
      <c r="D47" s="106" t="s">
        <v>102</v>
      </c>
      <c r="E47" s="106" t="s">
        <v>117</v>
      </c>
      <c r="F47" s="106" t="s">
        <v>117</v>
      </c>
      <c r="G47" s="106" t="s">
        <v>117</v>
      </c>
      <c r="H47" s="106" t="s">
        <v>117</v>
      </c>
      <c r="I47" s="106" t="s">
        <v>117</v>
      </c>
      <c r="J47" s="106" t="s">
        <v>117</v>
      </c>
      <c r="K47" s="106" t="s">
        <v>117</v>
      </c>
      <c r="L47" s="106" t="s">
        <v>117</v>
      </c>
    </row>
    <row r="48" spans="1:12" s="99" customFormat="1" ht="15">
      <c r="A48" s="100"/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</row>
    <row r="49" spans="1:12" s="99" customFormat="1" ht="15">
      <c r="A49" s="100"/>
      <c r="B49" s="92">
        <v>1</v>
      </c>
      <c r="C49" s="92">
        <v>1</v>
      </c>
      <c r="D49" s="92">
        <v>1</v>
      </c>
      <c r="E49" s="92">
        <v>1</v>
      </c>
      <c r="F49" s="92">
        <v>1</v>
      </c>
      <c r="G49" s="92">
        <v>1</v>
      </c>
      <c r="H49" s="92">
        <v>1</v>
      </c>
      <c r="I49" s="92">
        <v>1</v>
      </c>
      <c r="J49" s="92">
        <v>1</v>
      </c>
      <c r="K49" s="92">
        <v>1</v>
      </c>
      <c r="L49" s="92">
        <v>1</v>
      </c>
    </row>
    <row r="50" spans="1:12" s="99" customFormat="1" ht="15">
      <c r="A50" s="100"/>
      <c r="B50" s="92">
        <v>2</v>
      </c>
      <c r="C50" s="92">
        <v>2</v>
      </c>
      <c r="D50" s="92">
        <v>2</v>
      </c>
      <c r="E50" s="92">
        <v>2</v>
      </c>
      <c r="F50" s="92">
        <v>2</v>
      </c>
      <c r="G50" s="92">
        <v>2</v>
      </c>
      <c r="H50" s="92">
        <v>2</v>
      </c>
      <c r="I50" s="92">
        <v>2</v>
      </c>
      <c r="J50" s="92">
        <v>2</v>
      </c>
      <c r="K50" s="92">
        <v>2</v>
      </c>
      <c r="L50" s="92">
        <v>2</v>
      </c>
    </row>
    <row r="51" spans="1:12" s="99" customFormat="1" ht="15">
      <c r="A51" s="100"/>
      <c r="B51" s="92">
        <v>3</v>
      </c>
      <c r="C51" s="92">
        <v>3</v>
      </c>
      <c r="D51" s="92">
        <v>3</v>
      </c>
      <c r="E51" s="92">
        <v>3</v>
      </c>
      <c r="F51" s="92">
        <v>3</v>
      </c>
      <c r="G51" s="92">
        <v>3</v>
      </c>
      <c r="H51" s="92">
        <v>3</v>
      </c>
      <c r="I51" s="92">
        <v>3</v>
      </c>
      <c r="J51" s="92">
        <v>3</v>
      </c>
      <c r="K51" s="92">
        <v>3</v>
      </c>
      <c r="L51" s="92">
        <v>3</v>
      </c>
    </row>
    <row r="52" spans="1:12" s="99" customFormat="1" ht="15">
      <c r="A52" s="100"/>
      <c r="B52" s="92">
        <v>4</v>
      </c>
      <c r="C52" s="92">
        <v>4</v>
      </c>
      <c r="D52" s="92">
        <v>4</v>
      </c>
      <c r="E52" s="92">
        <v>4</v>
      </c>
      <c r="F52" s="92">
        <v>4</v>
      </c>
      <c r="G52" s="92">
        <v>4</v>
      </c>
      <c r="H52" s="92">
        <v>4</v>
      </c>
      <c r="I52" s="92">
        <v>4</v>
      </c>
      <c r="J52" s="92">
        <v>4</v>
      </c>
      <c r="K52" s="92">
        <v>4</v>
      </c>
      <c r="L52" s="92">
        <v>4</v>
      </c>
    </row>
    <row r="53" spans="1:12" s="99" customFormat="1" ht="15">
      <c r="A53" s="100"/>
      <c r="B53" s="92">
        <v>5</v>
      </c>
      <c r="C53" s="92">
        <v>5</v>
      </c>
      <c r="D53" s="92">
        <v>5</v>
      </c>
      <c r="E53" s="92">
        <v>5</v>
      </c>
      <c r="F53" s="92">
        <v>5</v>
      </c>
      <c r="G53" s="92">
        <v>5</v>
      </c>
      <c r="H53" s="92">
        <v>5</v>
      </c>
      <c r="I53" s="92">
        <v>5</v>
      </c>
      <c r="J53" s="92">
        <v>5</v>
      </c>
      <c r="K53" s="92">
        <v>5</v>
      </c>
      <c r="L53" s="92">
        <v>5</v>
      </c>
    </row>
    <row r="54" spans="1:12" s="99" customFormat="1" ht="15">
      <c r="A54" s="100"/>
      <c r="B54" s="92">
        <v>6</v>
      </c>
      <c r="C54" s="92">
        <v>6</v>
      </c>
      <c r="D54" s="92">
        <v>6</v>
      </c>
      <c r="E54" s="92">
        <v>6</v>
      </c>
      <c r="F54" s="92">
        <v>6</v>
      </c>
      <c r="G54" s="92">
        <v>6</v>
      </c>
      <c r="H54" s="92">
        <v>6</v>
      </c>
      <c r="I54" s="92">
        <v>6</v>
      </c>
      <c r="J54" s="92">
        <v>6</v>
      </c>
      <c r="K54" s="92">
        <v>6</v>
      </c>
      <c r="L54" s="92">
        <v>6</v>
      </c>
    </row>
    <row r="55" spans="1:12" s="99" customFormat="1" ht="15">
      <c r="A55" s="100"/>
      <c r="B55" s="103" t="s">
        <v>2</v>
      </c>
      <c r="C55" s="103" t="s">
        <v>2</v>
      </c>
      <c r="D55" s="103" t="s">
        <v>2</v>
      </c>
      <c r="E55" s="103" t="s">
        <v>2</v>
      </c>
      <c r="F55" s="88">
        <f>IF(Configurator!$J$5=1,"*",7)</f>
        <v>7</v>
      </c>
      <c r="G55" s="88">
        <f>IF(Configurator!$J$5=1,"*",7)</f>
        <v>7</v>
      </c>
      <c r="H55" s="88">
        <f>IF(Configurator!$J$5=1,"*",7)</f>
        <v>7</v>
      </c>
      <c r="I55" s="88">
        <f>IF(Configurator!$J$5=1,"*",7)</f>
        <v>7</v>
      </c>
      <c r="J55" s="88">
        <f>IF(Configurator!$J$5=1,"*",7)</f>
        <v>7</v>
      </c>
      <c r="K55" s="88">
        <f>IF(Configurator!$J$5=1,"*",7)</f>
        <v>7</v>
      </c>
      <c r="L55" s="88">
        <f>IF(Configurator!$J$5=1,"*",7)</f>
        <v>7</v>
      </c>
    </row>
    <row r="56" spans="1:12" s="99" customFormat="1" ht="15">
      <c r="A56" s="100"/>
      <c r="B56" s="92">
        <v>8</v>
      </c>
      <c r="C56" s="92">
        <v>8</v>
      </c>
      <c r="D56" s="92">
        <v>8</v>
      </c>
      <c r="E56" s="92">
        <v>8</v>
      </c>
      <c r="F56" s="92">
        <v>8</v>
      </c>
      <c r="G56" s="92">
        <v>8</v>
      </c>
      <c r="H56" s="92">
        <v>8</v>
      </c>
      <c r="I56" s="92">
        <v>8</v>
      </c>
      <c r="J56" s="92">
        <v>8</v>
      </c>
      <c r="K56" s="92">
        <v>8</v>
      </c>
      <c r="L56" s="92">
        <v>8</v>
      </c>
    </row>
    <row r="57" spans="1:12" s="99" customFormat="1" ht="15">
      <c r="A57" s="100"/>
      <c r="B57" s="92" t="s">
        <v>0</v>
      </c>
      <c r="C57" s="92" t="s">
        <v>0</v>
      </c>
      <c r="D57" s="92" t="s">
        <v>0</v>
      </c>
      <c r="E57" s="92" t="s">
        <v>0</v>
      </c>
      <c r="F57" s="92" t="s">
        <v>0</v>
      </c>
      <c r="G57" s="92" t="s">
        <v>0</v>
      </c>
      <c r="H57" s="92" t="s">
        <v>0</v>
      </c>
      <c r="I57" s="92" t="s">
        <v>0</v>
      </c>
      <c r="J57" s="92" t="s">
        <v>0</v>
      </c>
      <c r="K57" s="92" t="s">
        <v>0</v>
      </c>
      <c r="L57" s="92" t="s">
        <v>0</v>
      </c>
    </row>
    <row r="58" spans="1:12" s="99" customFormat="1" ht="15">
      <c r="A58" s="100"/>
      <c r="B58" s="92" t="s">
        <v>18</v>
      </c>
      <c r="C58" s="92" t="s">
        <v>18</v>
      </c>
      <c r="D58" s="103" t="s">
        <v>2</v>
      </c>
      <c r="E58" s="103" t="s">
        <v>2</v>
      </c>
      <c r="F58" s="103" t="s">
        <v>2</v>
      </c>
      <c r="G58" s="103" t="s">
        <v>2</v>
      </c>
      <c r="H58" s="103" t="s">
        <v>2</v>
      </c>
      <c r="I58" s="103" t="s">
        <v>2</v>
      </c>
      <c r="J58" s="103" t="s">
        <v>2</v>
      </c>
      <c r="K58" s="103" t="s">
        <v>2</v>
      </c>
      <c r="L58" s="103" t="s">
        <v>2</v>
      </c>
    </row>
    <row r="59" spans="1:12" s="99" customFormat="1" ht="15">
      <c r="A59" s="100"/>
      <c r="B59" s="92" t="s">
        <v>28</v>
      </c>
      <c r="C59" s="92" t="s">
        <v>28</v>
      </c>
      <c r="D59" s="103" t="s">
        <v>2</v>
      </c>
      <c r="E59" s="103" t="s">
        <v>2</v>
      </c>
      <c r="F59" s="103" t="s">
        <v>2</v>
      </c>
      <c r="G59" s="103" t="s">
        <v>2</v>
      </c>
      <c r="H59" s="103" t="s">
        <v>2</v>
      </c>
      <c r="I59" s="103" t="s">
        <v>2</v>
      </c>
      <c r="J59" s="103" t="s">
        <v>2</v>
      </c>
      <c r="K59" s="103" t="s">
        <v>2</v>
      </c>
      <c r="L59" s="103" t="s">
        <v>2</v>
      </c>
    </row>
    <row r="60" spans="1:12" s="99" customFormat="1" ht="15">
      <c r="A60" s="100"/>
      <c r="B60" s="103" t="s">
        <v>2</v>
      </c>
      <c r="C60" s="92" t="s">
        <v>32</v>
      </c>
      <c r="D60" s="92" t="s">
        <v>32</v>
      </c>
      <c r="E60" s="92" t="s">
        <v>32</v>
      </c>
      <c r="F60" s="92" t="s">
        <v>32</v>
      </c>
      <c r="G60" s="92" t="s">
        <v>32</v>
      </c>
      <c r="H60" s="92" t="s">
        <v>32</v>
      </c>
      <c r="I60" s="92" t="s">
        <v>32</v>
      </c>
      <c r="J60" s="92" t="s">
        <v>32</v>
      </c>
      <c r="K60" s="92" t="s">
        <v>32</v>
      </c>
      <c r="L60" s="92" t="s">
        <v>32</v>
      </c>
    </row>
    <row r="61" spans="1:12" s="99" customFormat="1" ht="15">
      <c r="A61" s="102"/>
      <c r="B61" s="104" t="s">
        <v>2</v>
      </c>
      <c r="C61" s="104" t="s">
        <v>2</v>
      </c>
      <c r="D61" s="104" t="s">
        <v>2</v>
      </c>
      <c r="E61" s="104" t="s">
        <v>2</v>
      </c>
      <c r="F61" s="104" t="s">
        <v>2</v>
      </c>
      <c r="G61" s="104" t="s">
        <v>2</v>
      </c>
      <c r="H61" s="104" t="s">
        <v>2</v>
      </c>
      <c r="I61" s="104" t="s">
        <v>2</v>
      </c>
      <c r="J61" s="104" t="s">
        <v>2</v>
      </c>
      <c r="K61" s="104" t="s">
        <v>2</v>
      </c>
      <c r="L61" s="104" t="s">
        <v>2</v>
      </c>
    </row>
    <row r="62" spans="1:12" s="99" customFormat="1" ht="15">
      <c r="A62" s="97" t="s">
        <v>106</v>
      </c>
      <c r="B62" s="98" t="s">
        <v>108</v>
      </c>
      <c r="C62" s="98" t="s">
        <v>108</v>
      </c>
      <c r="D62" s="98" t="s">
        <v>108</v>
      </c>
      <c r="E62" s="98" t="s">
        <v>108</v>
      </c>
      <c r="F62" s="98" t="s">
        <v>108</v>
      </c>
      <c r="G62" s="98" t="s">
        <v>108</v>
      </c>
      <c r="H62" s="98" t="s">
        <v>108</v>
      </c>
      <c r="I62" s="98" t="s">
        <v>108</v>
      </c>
      <c r="J62" s="98" t="s">
        <v>108</v>
      </c>
      <c r="K62" s="98" t="s">
        <v>108</v>
      </c>
      <c r="L62" s="98" t="s">
        <v>108</v>
      </c>
    </row>
    <row r="63" spans="1:12" s="99" customFormat="1" ht="15">
      <c r="A63" s="100"/>
      <c r="B63" s="93" t="s">
        <v>108</v>
      </c>
      <c r="C63" s="93" t="s">
        <v>108</v>
      </c>
      <c r="D63" s="93" t="s">
        <v>108</v>
      </c>
      <c r="E63" s="93" t="s">
        <v>108</v>
      </c>
      <c r="F63" s="93" t="s">
        <v>108</v>
      </c>
      <c r="G63" s="93" t="s">
        <v>108</v>
      </c>
      <c r="H63" s="93" t="s">
        <v>108</v>
      </c>
      <c r="I63" s="93" t="s">
        <v>108</v>
      </c>
      <c r="J63" s="93" t="s">
        <v>108</v>
      </c>
      <c r="K63" s="93" t="s">
        <v>108</v>
      </c>
      <c r="L63" s="93" t="s">
        <v>108</v>
      </c>
    </row>
    <row r="64" spans="1:12" s="99" customFormat="1" ht="15">
      <c r="A64" s="100" t="s">
        <v>84</v>
      </c>
      <c r="B64" s="92" t="s">
        <v>104</v>
      </c>
      <c r="C64" s="92" t="s">
        <v>104</v>
      </c>
      <c r="D64" s="92" t="s">
        <v>105</v>
      </c>
      <c r="E64" s="92" t="s">
        <v>105</v>
      </c>
      <c r="F64" s="92" t="s">
        <v>105</v>
      </c>
      <c r="G64" s="92" t="s">
        <v>105</v>
      </c>
      <c r="H64" s="92" t="s">
        <v>105</v>
      </c>
      <c r="I64" s="92" t="s">
        <v>105</v>
      </c>
      <c r="J64" s="92" t="s">
        <v>146</v>
      </c>
      <c r="K64" s="92" t="s">
        <v>146</v>
      </c>
      <c r="L64" s="92" t="s">
        <v>146</v>
      </c>
    </row>
    <row r="65" spans="1:12" s="99" customFormat="1" ht="15">
      <c r="A65" s="100"/>
      <c r="B65" s="130" t="s">
        <v>5</v>
      </c>
      <c r="C65" s="130" t="s">
        <v>5</v>
      </c>
      <c r="D65" s="130" t="s">
        <v>5</v>
      </c>
      <c r="E65" s="130" t="s">
        <v>5</v>
      </c>
      <c r="F65" s="130" t="s">
        <v>5</v>
      </c>
      <c r="G65" s="130" t="s">
        <v>5</v>
      </c>
      <c r="H65" s="130" t="s">
        <v>5</v>
      </c>
      <c r="I65" s="130" t="s">
        <v>5</v>
      </c>
      <c r="J65" s="130" t="s">
        <v>5</v>
      </c>
      <c r="K65" s="130" t="s">
        <v>5</v>
      </c>
      <c r="L65" s="130" t="s">
        <v>5</v>
      </c>
    </row>
    <row r="66" spans="1:12" s="99" customFormat="1" ht="15">
      <c r="A66" s="100" t="s">
        <v>85</v>
      </c>
      <c r="B66" s="121" t="s">
        <v>5</v>
      </c>
      <c r="C66" s="121" t="s">
        <v>5</v>
      </c>
      <c r="D66" s="121" t="s">
        <v>5</v>
      </c>
      <c r="E66" s="121" t="s">
        <v>5</v>
      </c>
      <c r="F66" s="121" t="s">
        <v>5</v>
      </c>
      <c r="G66" s="121" t="s">
        <v>5</v>
      </c>
      <c r="H66" s="121" t="s">
        <v>5</v>
      </c>
      <c r="I66" s="121" t="s">
        <v>5</v>
      </c>
      <c r="J66" s="121" t="s">
        <v>5</v>
      </c>
      <c r="K66" s="121" t="s">
        <v>5</v>
      </c>
      <c r="L66" s="121" t="s">
        <v>5</v>
      </c>
    </row>
    <row r="67" spans="1:12" s="99" customFormat="1" ht="15">
      <c r="A67" s="102"/>
      <c r="B67" s="130" t="s">
        <v>5</v>
      </c>
      <c r="C67" s="130" t="s">
        <v>5</v>
      </c>
      <c r="D67" s="130" t="s">
        <v>5</v>
      </c>
      <c r="E67" s="130" t="s">
        <v>5</v>
      </c>
      <c r="F67" s="130" t="s">
        <v>5</v>
      </c>
      <c r="G67" s="130" t="s">
        <v>5</v>
      </c>
      <c r="H67" s="130" t="s">
        <v>5</v>
      </c>
      <c r="I67" s="130" t="s">
        <v>5</v>
      </c>
      <c r="J67" s="130" t="s">
        <v>5</v>
      </c>
      <c r="K67" s="130" t="s">
        <v>5</v>
      </c>
      <c r="L67" s="130" t="s">
        <v>5</v>
      </c>
    </row>
    <row r="68" spans="1:12" s="99" customFormat="1" ht="15">
      <c r="A68" s="97" t="s">
        <v>57</v>
      </c>
      <c r="B68" s="109" t="s">
        <v>4</v>
      </c>
      <c r="C68" s="109" t="s">
        <v>4</v>
      </c>
      <c r="D68" s="109" t="s">
        <v>4</v>
      </c>
      <c r="E68" s="109" t="s">
        <v>4</v>
      </c>
      <c r="F68" s="109" t="s">
        <v>4</v>
      </c>
      <c r="G68" s="109" t="s">
        <v>4</v>
      </c>
      <c r="H68" s="109" t="s">
        <v>4</v>
      </c>
      <c r="I68" s="109" t="s">
        <v>4</v>
      </c>
      <c r="J68" s="109" t="s">
        <v>4</v>
      </c>
      <c r="K68" s="109" t="s">
        <v>4</v>
      </c>
      <c r="L68" s="109" t="s">
        <v>4</v>
      </c>
    </row>
    <row r="69" spans="1:12" s="99" customFormat="1" ht="15">
      <c r="A69" s="100"/>
      <c r="B69" s="110" t="s">
        <v>6</v>
      </c>
      <c r="C69" s="110" t="s">
        <v>6</v>
      </c>
      <c r="D69" s="110" t="s">
        <v>6</v>
      </c>
      <c r="E69" s="110" t="s">
        <v>6</v>
      </c>
      <c r="F69" s="110" t="s">
        <v>6</v>
      </c>
      <c r="G69" s="110" t="s">
        <v>6</v>
      </c>
      <c r="H69" s="110" t="s">
        <v>6</v>
      </c>
      <c r="I69" s="110" t="s">
        <v>6</v>
      </c>
      <c r="J69" s="110" t="s">
        <v>6</v>
      </c>
      <c r="K69" s="110" t="s">
        <v>6</v>
      </c>
      <c r="L69" s="110" t="s">
        <v>6</v>
      </c>
    </row>
    <row r="70" spans="1:12" s="99" customFormat="1" ht="15">
      <c r="A70" s="100"/>
      <c r="B70" s="110" t="s">
        <v>206</v>
      </c>
      <c r="C70" s="110" t="s">
        <v>206</v>
      </c>
      <c r="D70" s="110" t="s">
        <v>206</v>
      </c>
      <c r="E70" s="110" t="s">
        <v>206</v>
      </c>
      <c r="F70" s="110" t="s">
        <v>206</v>
      </c>
      <c r="G70" s="110" t="s">
        <v>206</v>
      </c>
      <c r="H70" s="110" t="s">
        <v>206</v>
      </c>
      <c r="I70" s="110" t="s">
        <v>206</v>
      </c>
      <c r="J70" s="110" t="s">
        <v>206</v>
      </c>
      <c r="K70" s="110" t="s">
        <v>206</v>
      </c>
      <c r="L70" s="110" t="s">
        <v>206</v>
      </c>
    </row>
    <row r="71" spans="1:12" s="99" customFormat="1" ht="15">
      <c r="A71" s="100"/>
      <c r="B71" s="110" t="s">
        <v>50</v>
      </c>
      <c r="C71" s="110" t="s">
        <v>50</v>
      </c>
      <c r="D71" s="110" t="s">
        <v>50</v>
      </c>
      <c r="E71" s="110" t="s">
        <v>50</v>
      </c>
      <c r="F71" s="110" t="s">
        <v>50</v>
      </c>
      <c r="G71" s="110" t="s">
        <v>50</v>
      </c>
      <c r="H71" s="110" t="s">
        <v>50</v>
      </c>
      <c r="I71" s="110" t="s">
        <v>50</v>
      </c>
      <c r="J71" s="110" t="s">
        <v>50</v>
      </c>
      <c r="K71" s="110" t="s">
        <v>50</v>
      </c>
      <c r="L71" s="110" t="s">
        <v>50</v>
      </c>
    </row>
    <row r="72" spans="1:12" s="99" customFormat="1" ht="15">
      <c r="A72" s="100"/>
      <c r="B72" s="110" t="s">
        <v>115</v>
      </c>
      <c r="C72" s="110" t="s">
        <v>49</v>
      </c>
      <c r="D72" s="110" t="s">
        <v>49</v>
      </c>
      <c r="E72" s="110" t="s">
        <v>115</v>
      </c>
      <c r="F72" s="110" t="s">
        <v>115</v>
      </c>
      <c r="G72" s="110" t="s">
        <v>115</v>
      </c>
      <c r="H72" s="110" t="s">
        <v>115</v>
      </c>
      <c r="I72" s="110" t="s">
        <v>115</v>
      </c>
      <c r="J72" s="110" t="s">
        <v>115</v>
      </c>
      <c r="K72" s="110" t="s">
        <v>115</v>
      </c>
      <c r="L72" s="110" t="s">
        <v>115</v>
      </c>
    </row>
    <row r="73" spans="1:12" s="99" customFormat="1" ht="15">
      <c r="A73" s="100"/>
      <c r="B73" s="110" t="s">
        <v>116</v>
      </c>
      <c r="C73" s="110" t="s">
        <v>82</v>
      </c>
      <c r="D73" s="110" t="s">
        <v>82</v>
      </c>
      <c r="E73" s="110" t="s">
        <v>116</v>
      </c>
      <c r="F73" s="110" t="s">
        <v>116</v>
      </c>
      <c r="G73" s="110" t="s">
        <v>116</v>
      </c>
      <c r="H73" s="110" t="s">
        <v>116</v>
      </c>
      <c r="I73" s="110" t="s">
        <v>116</v>
      </c>
      <c r="J73" s="110" t="s">
        <v>116</v>
      </c>
      <c r="K73" s="110" t="s">
        <v>116</v>
      </c>
      <c r="L73" s="110" t="s">
        <v>116</v>
      </c>
    </row>
    <row r="74" spans="1:12" s="99" customFormat="1" ht="15">
      <c r="A74" s="100"/>
      <c r="B74" s="110" t="s">
        <v>55</v>
      </c>
      <c r="C74" s="110" t="s">
        <v>55</v>
      </c>
      <c r="D74" s="110" t="s">
        <v>55</v>
      </c>
      <c r="E74" s="110" t="s">
        <v>55</v>
      </c>
      <c r="F74" s="110" t="s">
        <v>55</v>
      </c>
      <c r="G74" s="110" t="s">
        <v>55</v>
      </c>
      <c r="H74" s="110" t="s">
        <v>55</v>
      </c>
      <c r="I74" s="129" t="s">
        <v>5</v>
      </c>
      <c r="J74" s="129" t="s">
        <v>5</v>
      </c>
      <c r="K74" s="129" t="s">
        <v>5</v>
      </c>
      <c r="L74" s="129" t="s">
        <v>5</v>
      </c>
    </row>
    <row r="75" spans="1:12" s="99" customFormat="1" ht="15">
      <c r="A75" s="100"/>
      <c r="B75" s="111" t="s">
        <v>56</v>
      </c>
      <c r="C75" s="111" t="s">
        <v>56</v>
      </c>
      <c r="D75" s="111" t="s">
        <v>56</v>
      </c>
      <c r="E75" s="111" t="s">
        <v>56</v>
      </c>
      <c r="F75" s="111" t="s">
        <v>56</v>
      </c>
      <c r="G75" s="111" t="s">
        <v>56</v>
      </c>
      <c r="H75" s="111" t="s">
        <v>56</v>
      </c>
      <c r="I75" s="113" t="s">
        <v>5</v>
      </c>
      <c r="J75" s="113" t="s">
        <v>5</v>
      </c>
      <c r="K75" s="113" t="s">
        <v>5</v>
      </c>
      <c r="L75" s="113" t="s">
        <v>5</v>
      </c>
    </row>
    <row r="76" spans="1:12" ht="15">
      <c r="A76" s="100"/>
      <c r="B76" s="112" t="s">
        <v>0</v>
      </c>
      <c r="C76" s="112" t="s">
        <v>0</v>
      </c>
      <c r="D76" s="112" t="s">
        <v>0</v>
      </c>
      <c r="E76" s="112" t="s">
        <v>0</v>
      </c>
      <c r="F76" s="112" t="s">
        <v>0</v>
      </c>
      <c r="G76" s="112" t="s">
        <v>0</v>
      </c>
      <c r="H76" s="112" t="s">
        <v>0</v>
      </c>
      <c r="I76" s="112" t="s">
        <v>0</v>
      </c>
      <c r="J76" s="112" t="s">
        <v>0</v>
      </c>
      <c r="K76" s="112" t="s">
        <v>0</v>
      </c>
      <c r="L76" s="112" t="s">
        <v>0</v>
      </c>
    </row>
    <row r="77" spans="1:12" ht="15">
      <c r="A77" s="100"/>
      <c r="B77" s="112" t="s">
        <v>7</v>
      </c>
      <c r="C77" s="112" t="s">
        <v>7</v>
      </c>
      <c r="D77" s="112" t="s">
        <v>7</v>
      </c>
      <c r="E77" s="112" t="s">
        <v>7</v>
      </c>
      <c r="F77" s="112" t="s">
        <v>7</v>
      </c>
      <c r="G77" s="112" t="s">
        <v>7</v>
      </c>
      <c r="H77" s="112" t="s">
        <v>7</v>
      </c>
      <c r="I77" s="112" t="s">
        <v>7</v>
      </c>
      <c r="J77" s="112" t="s">
        <v>7</v>
      </c>
      <c r="K77" s="112" t="s">
        <v>7</v>
      </c>
      <c r="L77" s="112" t="s">
        <v>7</v>
      </c>
    </row>
    <row r="78" spans="1:12" ht="15">
      <c r="A78" s="100"/>
      <c r="B78" s="112" t="s">
        <v>31</v>
      </c>
      <c r="C78" s="112" t="s">
        <v>31</v>
      </c>
      <c r="D78" s="112" t="s">
        <v>31</v>
      </c>
      <c r="E78" s="112" t="s">
        <v>31</v>
      </c>
      <c r="F78" s="112" t="s">
        <v>31</v>
      </c>
      <c r="G78" s="112" t="s">
        <v>31</v>
      </c>
      <c r="H78" s="112" t="s">
        <v>31</v>
      </c>
      <c r="I78" s="112" t="s">
        <v>31</v>
      </c>
      <c r="J78" s="112" t="s">
        <v>31</v>
      </c>
      <c r="K78" s="112" t="s">
        <v>31</v>
      </c>
      <c r="L78" s="112" t="s">
        <v>31</v>
      </c>
    </row>
    <row r="79" spans="1:12" ht="15">
      <c r="A79" s="100"/>
      <c r="B79" s="112" t="s">
        <v>8</v>
      </c>
      <c r="C79" s="112" t="s">
        <v>8</v>
      </c>
      <c r="D79" s="112" t="s">
        <v>8</v>
      </c>
      <c r="E79" s="112" t="s">
        <v>8</v>
      </c>
      <c r="F79" s="112" t="s">
        <v>8</v>
      </c>
      <c r="G79" s="112" t="s">
        <v>8</v>
      </c>
      <c r="H79" s="112" t="s">
        <v>8</v>
      </c>
      <c r="I79" s="112" t="s">
        <v>8</v>
      </c>
      <c r="J79" s="112" t="s">
        <v>8</v>
      </c>
      <c r="K79" s="112" t="s">
        <v>8</v>
      </c>
      <c r="L79" s="112" t="s">
        <v>8</v>
      </c>
    </row>
    <row r="80" spans="1:12" ht="15">
      <c r="A80" s="100"/>
      <c r="B80" s="112" t="s">
        <v>29</v>
      </c>
      <c r="C80" s="112" t="s">
        <v>29</v>
      </c>
      <c r="D80" s="112" t="s">
        <v>29</v>
      </c>
      <c r="E80" s="112" t="s">
        <v>29</v>
      </c>
      <c r="F80" s="112" t="s">
        <v>29</v>
      </c>
      <c r="G80" s="112" t="s">
        <v>29</v>
      </c>
      <c r="H80" s="112" t="s">
        <v>29</v>
      </c>
      <c r="I80" s="112" t="s">
        <v>29</v>
      </c>
      <c r="J80" s="112" t="s">
        <v>29</v>
      </c>
      <c r="K80" s="112" t="s">
        <v>29</v>
      </c>
      <c r="L80" s="112" t="s">
        <v>29</v>
      </c>
    </row>
    <row r="81" spans="1:12" ht="15">
      <c r="A81" s="100"/>
      <c r="B81" s="112" t="s">
        <v>30</v>
      </c>
      <c r="C81" s="112" t="s">
        <v>30</v>
      </c>
      <c r="D81" s="112" t="s">
        <v>30</v>
      </c>
      <c r="E81" s="112" t="s">
        <v>30</v>
      </c>
      <c r="F81" s="112" t="s">
        <v>30</v>
      </c>
      <c r="G81" s="112" t="s">
        <v>30</v>
      </c>
      <c r="H81" s="112" t="s">
        <v>30</v>
      </c>
      <c r="I81" s="112" t="s">
        <v>30</v>
      </c>
      <c r="J81" s="112" t="s">
        <v>30</v>
      </c>
      <c r="K81" s="112" t="s">
        <v>30</v>
      </c>
      <c r="L81" s="112" t="s">
        <v>30</v>
      </c>
    </row>
    <row r="82" spans="1:12" ht="15">
      <c r="A82" s="100"/>
      <c r="B82" s="112" t="s">
        <v>35</v>
      </c>
      <c r="C82" s="112" t="s">
        <v>35</v>
      </c>
      <c r="D82" s="112" t="s">
        <v>35</v>
      </c>
      <c r="E82" s="112" t="s">
        <v>35</v>
      </c>
      <c r="F82" s="112" t="s">
        <v>35</v>
      </c>
      <c r="G82" s="112" t="s">
        <v>35</v>
      </c>
      <c r="H82" s="112" t="s">
        <v>35</v>
      </c>
      <c r="I82" s="112" t="s">
        <v>35</v>
      </c>
      <c r="J82" s="112" t="s">
        <v>35</v>
      </c>
      <c r="K82" s="112" t="s">
        <v>35</v>
      </c>
      <c r="L82" s="112" t="s">
        <v>35</v>
      </c>
    </row>
    <row r="83" spans="1:12" ht="15">
      <c r="A83" s="100"/>
      <c r="B83" s="112" t="s">
        <v>36</v>
      </c>
      <c r="C83" s="112" t="s">
        <v>36</v>
      </c>
      <c r="D83" s="112" t="s">
        <v>36</v>
      </c>
      <c r="E83" s="112" t="s">
        <v>36</v>
      </c>
      <c r="F83" s="112" t="s">
        <v>36</v>
      </c>
      <c r="G83" s="112" t="s">
        <v>36</v>
      </c>
      <c r="H83" s="112" t="s">
        <v>36</v>
      </c>
      <c r="I83" s="112" t="s">
        <v>36</v>
      </c>
      <c r="J83" s="112" t="s">
        <v>36</v>
      </c>
      <c r="K83" s="128" t="s">
        <v>36</v>
      </c>
      <c r="L83" s="128" t="s">
        <v>36</v>
      </c>
    </row>
    <row r="84" spans="1:12" ht="29.25">
      <c r="A84" s="97" t="s">
        <v>129</v>
      </c>
      <c r="B84" s="109" t="s">
        <v>60</v>
      </c>
      <c r="C84" s="109" t="s">
        <v>60</v>
      </c>
      <c r="D84" s="109" t="s">
        <v>60</v>
      </c>
      <c r="E84" s="109" t="s">
        <v>60</v>
      </c>
      <c r="F84" s="109" t="s">
        <v>60</v>
      </c>
      <c r="G84" s="109" t="s">
        <v>60</v>
      </c>
      <c r="H84" s="109" t="s">
        <v>60</v>
      </c>
      <c r="I84" s="109" t="s">
        <v>60</v>
      </c>
      <c r="J84" s="109" t="s">
        <v>60</v>
      </c>
      <c r="K84" s="110" t="s">
        <v>205</v>
      </c>
      <c r="L84" s="110" t="s">
        <v>205</v>
      </c>
    </row>
    <row r="85" spans="1:12" ht="29.25">
      <c r="A85" s="100"/>
      <c r="B85" s="110" t="s">
        <v>205</v>
      </c>
      <c r="C85" s="110" t="s">
        <v>205</v>
      </c>
      <c r="D85" s="110" t="s">
        <v>205</v>
      </c>
      <c r="E85" s="110" t="s">
        <v>205</v>
      </c>
      <c r="F85" s="110" t="s">
        <v>205</v>
      </c>
      <c r="G85" s="110" t="s">
        <v>205</v>
      </c>
      <c r="H85" s="110" t="s">
        <v>205</v>
      </c>
      <c r="I85" s="110" t="s">
        <v>205</v>
      </c>
      <c r="J85" s="110" t="s">
        <v>205</v>
      </c>
      <c r="K85" s="110" t="s">
        <v>206</v>
      </c>
      <c r="L85" s="110" t="s">
        <v>206</v>
      </c>
    </row>
    <row r="86" spans="1:12" ht="29.25">
      <c r="A86" s="100"/>
      <c r="B86" s="110" t="s">
        <v>206</v>
      </c>
      <c r="C86" s="110" t="s">
        <v>206</v>
      </c>
      <c r="D86" s="110" t="s">
        <v>206</v>
      </c>
      <c r="E86" s="110" t="s">
        <v>206</v>
      </c>
      <c r="F86" s="110" t="s">
        <v>206</v>
      </c>
      <c r="G86" s="110" t="s">
        <v>206</v>
      </c>
      <c r="H86" s="110" t="s">
        <v>206</v>
      </c>
      <c r="I86" s="110" t="s">
        <v>206</v>
      </c>
      <c r="J86" s="110" t="s">
        <v>206</v>
      </c>
      <c r="K86" s="110" t="s">
        <v>204</v>
      </c>
      <c r="L86" s="110" t="s">
        <v>204</v>
      </c>
    </row>
    <row r="87" spans="1:12" ht="29.25">
      <c r="A87" s="100"/>
      <c r="B87" s="110" t="s">
        <v>204</v>
      </c>
      <c r="C87" s="110" t="s">
        <v>204</v>
      </c>
      <c r="D87" s="110" t="s">
        <v>204</v>
      </c>
      <c r="E87" s="110" t="s">
        <v>204</v>
      </c>
      <c r="F87" s="110" t="s">
        <v>204</v>
      </c>
      <c r="G87" s="110" t="s">
        <v>204</v>
      </c>
      <c r="H87" s="110" t="s">
        <v>204</v>
      </c>
      <c r="I87" s="110" t="s">
        <v>204</v>
      </c>
      <c r="J87" s="110" t="s">
        <v>204</v>
      </c>
      <c r="K87" s="110" t="s">
        <v>203</v>
      </c>
      <c r="L87" s="110" t="s">
        <v>203</v>
      </c>
    </row>
    <row r="88" spans="1:12" ht="29.25">
      <c r="A88" s="100"/>
      <c r="B88" s="110" t="s">
        <v>203</v>
      </c>
      <c r="C88" s="110" t="s">
        <v>203</v>
      </c>
      <c r="D88" s="110" t="s">
        <v>203</v>
      </c>
      <c r="E88" s="110" t="s">
        <v>203</v>
      </c>
      <c r="F88" s="110" t="s">
        <v>203</v>
      </c>
      <c r="G88" s="110" t="s">
        <v>203</v>
      </c>
      <c r="H88" s="110" t="s">
        <v>203</v>
      </c>
      <c r="I88" s="110" t="s">
        <v>203</v>
      </c>
      <c r="J88" s="110" t="s">
        <v>203</v>
      </c>
      <c r="K88" s="110" t="s">
        <v>59</v>
      </c>
      <c r="L88" s="110" t="s">
        <v>59</v>
      </c>
    </row>
    <row r="89" spans="1:12" ht="15">
      <c r="A89" s="100"/>
      <c r="B89" s="113" t="s">
        <v>5</v>
      </c>
      <c r="C89" s="113" t="s">
        <v>5</v>
      </c>
      <c r="D89" s="113" t="s">
        <v>5</v>
      </c>
      <c r="E89" s="113" t="s">
        <v>5</v>
      </c>
      <c r="F89" s="113" t="s">
        <v>5</v>
      </c>
      <c r="G89" s="113" t="s">
        <v>5</v>
      </c>
      <c r="H89" s="113" t="s">
        <v>5</v>
      </c>
      <c r="I89" s="111" t="s">
        <v>59</v>
      </c>
      <c r="J89" s="111" t="s">
        <v>59</v>
      </c>
      <c r="K89" s="113" t="s">
        <v>5</v>
      </c>
      <c r="L89" s="113" t="s">
        <v>5</v>
      </c>
    </row>
    <row r="90" spans="1:12" ht="15">
      <c r="A90" s="100"/>
      <c r="B90" s="112" t="s">
        <v>0</v>
      </c>
      <c r="C90" s="112" t="s">
        <v>0</v>
      </c>
      <c r="D90" s="112" t="s">
        <v>0</v>
      </c>
      <c r="E90" s="112" t="s">
        <v>0</v>
      </c>
      <c r="F90" s="112" t="s">
        <v>0</v>
      </c>
      <c r="G90" s="112" t="s">
        <v>0</v>
      </c>
      <c r="H90" s="112" t="s">
        <v>0</v>
      </c>
      <c r="I90" s="112" t="s">
        <v>0</v>
      </c>
      <c r="J90" s="112" t="s">
        <v>0</v>
      </c>
      <c r="K90" s="112" t="s">
        <v>31</v>
      </c>
      <c r="L90" s="112" t="s">
        <v>31</v>
      </c>
    </row>
    <row r="91" spans="1:12" ht="15">
      <c r="A91" s="100"/>
      <c r="B91" s="112" t="s">
        <v>7</v>
      </c>
      <c r="C91" s="112" t="s">
        <v>7</v>
      </c>
      <c r="D91" s="112" t="s">
        <v>7</v>
      </c>
      <c r="E91" s="112" t="s">
        <v>7</v>
      </c>
      <c r="F91" s="112" t="s">
        <v>7</v>
      </c>
      <c r="G91" s="112" t="s">
        <v>7</v>
      </c>
      <c r="H91" s="112" t="s">
        <v>7</v>
      </c>
      <c r="I91" s="112" t="s">
        <v>7</v>
      </c>
      <c r="J91" s="112" t="s">
        <v>7</v>
      </c>
      <c r="K91" s="112" t="s">
        <v>29</v>
      </c>
      <c r="L91" s="112" t="s">
        <v>29</v>
      </c>
    </row>
    <row r="92" spans="1:12" ht="15">
      <c r="A92" s="100"/>
      <c r="B92" s="112" t="s">
        <v>31</v>
      </c>
      <c r="C92" s="112" t="s">
        <v>31</v>
      </c>
      <c r="D92" s="112" t="s">
        <v>31</v>
      </c>
      <c r="E92" s="112" t="s">
        <v>31</v>
      </c>
      <c r="F92" s="112" t="s">
        <v>31</v>
      </c>
      <c r="G92" s="112" t="s">
        <v>31</v>
      </c>
      <c r="H92" s="112" t="s">
        <v>31</v>
      </c>
      <c r="I92" s="112" t="s">
        <v>31</v>
      </c>
      <c r="J92" s="112" t="s">
        <v>31</v>
      </c>
      <c r="K92" s="112" t="s">
        <v>35</v>
      </c>
      <c r="L92" s="112" t="s">
        <v>35</v>
      </c>
    </row>
    <row r="93" spans="1:12" ht="15">
      <c r="A93" s="100"/>
      <c r="B93" s="112" t="s">
        <v>29</v>
      </c>
      <c r="C93" s="112" t="s">
        <v>29</v>
      </c>
      <c r="D93" s="112" t="s">
        <v>29</v>
      </c>
      <c r="E93" s="112" t="s">
        <v>29</v>
      </c>
      <c r="F93" s="112" t="s">
        <v>29</v>
      </c>
      <c r="G93" s="112" t="s">
        <v>29</v>
      </c>
      <c r="H93" s="112" t="s">
        <v>29</v>
      </c>
      <c r="I93" s="112" t="s">
        <v>29</v>
      </c>
      <c r="J93" s="112" t="s">
        <v>29</v>
      </c>
      <c r="K93" s="112" t="s">
        <v>36</v>
      </c>
      <c r="L93" s="112" t="s">
        <v>36</v>
      </c>
    </row>
    <row r="94" spans="1:12" ht="15">
      <c r="A94" s="100"/>
      <c r="B94" s="112" t="s">
        <v>35</v>
      </c>
      <c r="C94" s="112" t="s">
        <v>35</v>
      </c>
      <c r="D94" s="112" t="s">
        <v>35</v>
      </c>
      <c r="E94" s="112" t="s">
        <v>35</v>
      </c>
      <c r="F94" s="112" t="s">
        <v>35</v>
      </c>
      <c r="G94" s="112" t="s">
        <v>35</v>
      </c>
      <c r="H94" s="112" t="s">
        <v>35</v>
      </c>
      <c r="I94" s="112" t="s">
        <v>35</v>
      </c>
      <c r="J94" s="112" t="s">
        <v>35</v>
      </c>
      <c r="K94" s="112" t="s">
        <v>124</v>
      </c>
      <c r="L94" s="112" t="s">
        <v>124</v>
      </c>
    </row>
    <row r="95" spans="1:12" ht="15">
      <c r="A95" s="100"/>
      <c r="B95" s="112" t="s">
        <v>36</v>
      </c>
      <c r="C95" s="112" t="s">
        <v>36</v>
      </c>
      <c r="D95" s="112" t="s">
        <v>36</v>
      </c>
      <c r="E95" s="112" t="s">
        <v>36</v>
      </c>
      <c r="F95" s="112" t="s">
        <v>36</v>
      </c>
      <c r="G95" s="112" t="s">
        <v>36</v>
      </c>
      <c r="H95" s="112" t="s">
        <v>36</v>
      </c>
      <c r="I95" s="112" t="s">
        <v>36</v>
      </c>
      <c r="J95" s="112" t="s">
        <v>36</v>
      </c>
      <c r="K95" s="112" t="s">
        <v>124</v>
      </c>
      <c r="L95" s="112" t="s">
        <v>124</v>
      </c>
    </row>
    <row r="96" spans="1:12" ht="15">
      <c r="A96" s="100"/>
      <c r="B96" s="112" t="s">
        <v>36</v>
      </c>
      <c r="C96" s="112" t="s">
        <v>36</v>
      </c>
      <c r="D96" s="112" t="s">
        <v>36</v>
      </c>
      <c r="E96" s="112" t="s">
        <v>36</v>
      </c>
      <c r="F96" s="112" t="s">
        <v>36</v>
      </c>
      <c r="G96" s="112" t="s">
        <v>36</v>
      </c>
      <c r="H96" s="112" t="s">
        <v>36</v>
      </c>
      <c r="I96" s="112" t="s">
        <v>124</v>
      </c>
      <c r="J96" s="112" t="s">
        <v>124</v>
      </c>
      <c r="K96" s="112" t="s">
        <v>124</v>
      </c>
      <c r="L96" s="112" t="s">
        <v>124</v>
      </c>
    </row>
    <row r="97" spans="1:12" s="99" customFormat="1" ht="15">
      <c r="A97" s="97" t="s">
        <v>51</v>
      </c>
      <c r="B97" s="108" t="s">
        <v>52</v>
      </c>
      <c r="C97" s="108" t="s">
        <v>52</v>
      </c>
      <c r="D97" s="108" t="s">
        <v>52</v>
      </c>
      <c r="E97" s="108" t="s">
        <v>52</v>
      </c>
      <c r="F97" s="108" t="s">
        <v>52</v>
      </c>
      <c r="G97" s="108" t="s">
        <v>52</v>
      </c>
      <c r="H97" s="108" t="s">
        <v>52</v>
      </c>
      <c r="I97" s="108" t="s">
        <v>52</v>
      </c>
      <c r="J97" s="108" t="s">
        <v>52</v>
      </c>
      <c r="K97" s="108" t="s">
        <v>52</v>
      </c>
      <c r="L97" s="108" t="s">
        <v>147</v>
      </c>
    </row>
    <row r="98" spans="1:12" s="99" customFormat="1" ht="15">
      <c r="A98" s="102"/>
      <c r="B98" s="107" t="s">
        <v>52</v>
      </c>
      <c r="C98" s="107" t="s">
        <v>52</v>
      </c>
      <c r="D98" s="107" t="s">
        <v>52</v>
      </c>
      <c r="E98" s="107" t="s">
        <v>52</v>
      </c>
      <c r="F98" s="107" t="s">
        <v>52</v>
      </c>
      <c r="G98" s="107" t="s">
        <v>52</v>
      </c>
      <c r="H98" s="107" t="s">
        <v>52</v>
      </c>
      <c r="I98" s="107" t="s">
        <v>52</v>
      </c>
      <c r="J98" s="107" t="s">
        <v>52</v>
      </c>
      <c r="K98" s="107" t="s">
        <v>52</v>
      </c>
      <c r="L98" s="107" t="s">
        <v>52</v>
      </c>
    </row>
    <row r="99" spans="1:12" ht="15">
      <c r="A99" s="97" t="s">
        <v>121</v>
      </c>
      <c r="B99" s="98" t="s">
        <v>107</v>
      </c>
      <c r="C99" s="98" t="s">
        <v>107</v>
      </c>
      <c r="D99" s="98" t="s">
        <v>107</v>
      </c>
      <c r="E99" s="98" t="s">
        <v>107</v>
      </c>
      <c r="F99" s="98" t="s">
        <v>107</v>
      </c>
      <c r="G99" s="98" t="s">
        <v>107</v>
      </c>
      <c r="H99" s="98" t="s">
        <v>107</v>
      </c>
      <c r="I99" s="98" t="s">
        <v>107</v>
      </c>
      <c r="J99" s="98" t="s">
        <v>107</v>
      </c>
      <c r="K99" s="98" t="s">
        <v>107</v>
      </c>
      <c r="L99" s="98" t="s">
        <v>107</v>
      </c>
    </row>
    <row r="100" spans="1:12" ht="15">
      <c r="A100" s="100"/>
      <c r="B100" s="104" t="s">
        <v>5</v>
      </c>
      <c r="C100" s="104" t="s">
        <v>5</v>
      </c>
      <c r="D100" s="104" t="s">
        <v>5</v>
      </c>
      <c r="E100" s="104" t="s">
        <v>5</v>
      </c>
      <c r="F100" s="93" t="s">
        <v>41</v>
      </c>
      <c r="G100" s="93" t="s">
        <v>41</v>
      </c>
      <c r="H100" s="93" t="s">
        <v>41</v>
      </c>
      <c r="I100" s="93" t="s">
        <v>41</v>
      </c>
      <c r="J100" s="93" t="s">
        <v>41</v>
      </c>
      <c r="K100" s="93" t="s">
        <v>41</v>
      </c>
      <c r="L100" s="93" t="s">
        <v>41</v>
      </c>
    </row>
    <row r="101" spans="1:12" ht="15">
      <c r="A101" s="100" t="s">
        <v>84</v>
      </c>
      <c r="B101" s="98" t="s">
        <v>0</v>
      </c>
      <c r="C101" s="98" t="s">
        <v>0</v>
      </c>
      <c r="D101" s="98" t="s">
        <v>0</v>
      </c>
      <c r="E101" s="98" t="s">
        <v>0</v>
      </c>
      <c r="F101" s="98" t="s">
        <v>0</v>
      </c>
      <c r="G101" s="98" t="s">
        <v>0</v>
      </c>
      <c r="H101" s="98" t="s">
        <v>0</v>
      </c>
      <c r="I101" s="98" t="s">
        <v>0</v>
      </c>
      <c r="J101" s="98" t="s">
        <v>0</v>
      </c>
      <c r="K101" s="98" t="s">
        <v>0</v>
      </c>
      <c r="L101" s="98" t="s">
        <v>18</v>
      </c>
    </row>
    <row r="102" spans="1:12" ht="15">
      <c r="A102" s="100"/>
      <c r="B102" s="114" t="s">
        <v>0</v>
      </c>
      <c r="C102" s="114" t="s">
        <v>0</v>
      </c>
      <c r="D102" s="114" t="s">
        <v>0</v>
      </c>
      <c r="E102" s="114" t="s">
        <v>0</v>
      </c>
      <c r="F102" s="114" t="s">
        <v>0</v>
      </c>
      <c r="G102" s="114" t="s">
        <v>0</v>
      </c>
      <c r="H102" s="114" t="s">
        <v>0</v>
      </c>
      <c r="I102" s="114" t="s">
        <v>0</v>
      </c>
      <c r="J102" s="114" t="s">
        <v>0</v>
      </c>
      <c r="K102" s="114" t="s">
        <v>0</v>
      </c>
      <c r="L102" s="114" t="s">
        <v>0</v>
      </c>
    </row>
    <row r="103" spans="1:12" s="99" customFormat="1" ht="15">
      <c r="A103" s="100" t="s">
        <v>85</v>
      </c>
      <c r="B103" s="98" t="s">
        <v>87</v>
      </c>
      <c r="C103" s="98" t="s">
        <v>87</v>
      </c>
      <c r="D103" s="115" t="s">
        <v>7</v>
      </c>
      <c r="E103" s="98" t="s">
        <v>109</v>
      </c>
      <c r="F103" s="98" t="s">
        <v>109</v>
      </c>
      <c r="G103" s="98" t="s">
        <v>31</v>
      </c>
      <c r="H103" s="98" t="s">
        <v>122</v>
      </c>
      <c r="I103" s="98" t="s">
        <v>122</v>
      </c>
      <c r="J103" s="98" t="s">
        <v>122</v>
      </c>
      <c r="K103" s="98" t="s">
        <v>122</v>
      </c>
      <c r="L103" s="98" t="s">
        <v>122</v>
      </c>
    </row>
    <row r="104" spans="1:12" ht="15">
      <c r="A104" s="100"/>
      <c r="B104" s="116" t="s">
        <v>87</v>
      </c>
      <c r="C104" s="116" t="s">
        <v>87</v>
      </c>
      <c r="D104" s="116" t="s">
        <v>87</v>
      </c>
      <c r="E104" s="92" t="s">
        <v>7</v>
      </c>
      <c r="F104" s="92" t="s">
        <v>7</v>
      </c>
      <c r="G104" s="92" t="s">
        <v>109</v>
      </c>
      <c r="H104" s="92" t="s">
        <v>31</v>
      </c>
      <c r="I104" s="92" t="s">
        <v>31</v>
      </c>
      <c r="J104" s="92" t="s">
        <v>31</v>
      </c>
      <c r="K104" s="92" t="s">
        <v>31</v>
      </c>
      <c r="L104" s="92" t="s">
        <v>31</v>
      </c>
    </row>
    <row r="105" spans="1:12" s="99" customFormat="1" ht="15">
      <c r="A105" s="100"/>
      <c r="B105" s="131" t="s">
        <v>87</v>
      </c>
      <c r="C105" s="131" t="s">
        <v>87</v>
      </c>
      <c r="D105" s="131" t="s">
        <v>87</v>
      </c>
      <c r="E105" s="92" t="s">
        <v>87</v>
      </c>
      <c r="F105" s="92" t="s">
        <v>87</v>
      </c>
      <c r="G105" s="92" t="s">
        <v>7</v>
      </c>
      <c r="H105" s="92" t="s">
        <v>109</v>
      </c>
      <c r="I105" s="92" t="s">
        <v>109</v>
      </c>
      <c r="J105" s="92" t="s">
        <v>109</v>
      </c>
      <c r="K105" s="92" t="s">
        <v>109</v>
      </c>
      <c r="L105" s="92" t="s">
        <v>109</v>
      </c>
    </row>
    <row r="106" spans="1:12" s="99" customFormat="1" ht="15">
      <c r="A106" s="100"/>
      <c r="B106" s="117" t="s">
        <v>87</v>
      </c>
      <c r="C106" s="117" t="s">
        <v>87</v>
      </c>
      <c r="D106" s="117" t="s">
        <v>87</v>
      </c>
      <c r="E106" s="92" t="s">
        <v>87</v>
      </c>
      <c r="F106" s="92" t="s">
        <v>87</v>
      </c>
      <c r="G106" s="92" t="s">
        <v>87</v>
      </c>
      <c r="H106" s="92" t="s">
        <v>7</v>
      </c>
      <c r="I106" s="92" t="s">
        <v>7</v>
      </c>
      <c r="J106" s="92" t="s">
        <v>7</v>
      </c>
      <c r="K106" s="92" t="s">
        <v>7</v>
      </c>
      <c r="L106" s="92" t="s">
        <v>7</v>
      </c>
    </row>
    <row r="107" spans="1:12" s="99" customFormat="1" ht="15">
      <c r="A107" s="118"/>
      <c r="B107" s="119" t="s">
        <v>87</v>
      </c>
      <c r="C107" s="119" t="s">
        <v>87</v>
      </c>
      <c r="D107" s="119" t="s">
        <v>87</v>
      </c>
      <c r="E107" s="92" t="s">
        <v>87</v>
      </c>
      <c r="F107" s="92" t="s">
        <v>87</v>
      </c>
      <c r="G107" s="92" t="s">
        <v>87</v>
      </c>
      <c r="H107" s="92" t="s">
        <v>87</v>
      </c>
      <c r="I107" s="92" t="s">
        <v>87</v>
      </c>
      <c r="J107" s="92" t="s">
        <v>87</v>
      </c>
      <c r="K107" s="92" t="s">
        <v>87</v>
      </c>
      <c r="L107" s="92" t="s">
        <v>87</v>
      </c>
    </row>
    <row r="108" spans="1:12" ht="15">
      <c r="A108" s="102"/>
      <c r="B108" s="93" t="s">
        <v>87</v>
      </c>
      <c r="C108" s="93" t="s">
        <v>87</v>
      </c>
      <c r="D108" s="93" t="s">
        <v>87</v>
      </c>
      <c r="E108" s="93" t="s">
        <v>87</v>
      </c>
      <c r="F108" s="93" t="s">
        <v>87</v>
      </c>
      <c r="G108" s="93" t="s">
        <v>87</v>
      </c>
      <c r="H108" s="93" t="s">
        <v>87</v>
      </c>
      <c r="I108" s="93" t="s">
        <v>32</v>
      </c>
      <c r="J108" s="93" t="s">
        <v>32</v>
      </c>
      <c r="K108" s="93" t="s">
        <v>32</v>
      </c>
      <c r="L108" s="93" t="s">
        <v>32</v>
      </c>
    </row>
    <row r="109" spans="1:12" ht="15">
      <c r="A109" s="97" t="s">
        <v>123</v>
      </c>
      <c r="B109" s="98" t="s">
        <v>131</v>
      </c>
      <c r="C109" s="98" t="s">
        <v>131</v>
      </c>
      <c r="D109" s="98" t="s">
        <v>131</v>
      </c>
      <c r="E109" s="98" t="s">
        <v>131</v>
      </c>
      <c r="F109" s="98" t="s">
        <v>131</v>
      </c>
      <c r="G109" s="98" t="s">
        <v>131</v>
      </c>
      <c r="H109" s="98" t="s">
        <v>131</v>
      </c>
      <c r="I109" s="98" t="s">
        <v>130</v>
      </c>
      <c r="J109" s="98" t="s">
        <v>130</v>
      </c>
      <c r="K109" s="98" t="s">
        <v>130</v>
      </c>
      <c r="L109" s="98" t="s">
        <v>130</v>
      </c>
    </row>
    <row r="110" spans="1:12" ht="15">
      <c r="A110" s="100"/>
      <c r="B110" s="93" t="s">
        <v>131</v>
      </c>
      <c r="C110" s="93" t="s">
        <v>131</v>
      </c>
      <c r="D110" s="93" t="s">
        <v>131</v>
      </c>
      <c r="E110" s="93" t="s">
        <v>131</v>
      </c>
      <c r="F110" s="93" t="s">
        <v>131</v>
      </c>
      <c r="G110" s="93" t="s">
        <v>131</v>
      </c>
      <c r="H110" s="93" t="s">
        <v>131</v>
      </c>
      <c r="I110" s="92" t="s">
        <v>131</v>
      </c>
      <c r="J110" s="92" t="s">
        <v>131</v>
      </c>
      <c r="K110" s="92" t="s">
        <v>131</v>
      </c>
      <c r="L110" s="92" t="s">
        <v>131</v>
      </c>
    </row>
    <row r="111" spans="1:12" ht="15">
      <c r="A111" s="100"/>
      <c r="B111" s="121" t="s">
        <v>5</v>
      </c>
      <c r="C111" s="121" t="s">
        <v>5</v>
      </c>
      <c r="D111" s="121" t="s">
        <v>5</v>
      </c>
      <c r="E111" s="121" t="s">
        <v>5</v>
      </c>
      <c r="F111" s="121" t="s">
        <v>5</v>
      </c>
      <c r="G111" s="121" t="s">
        <v>5</v>
      </c>
      <c r="H111" s="124" t="s">
        <v>5</v>
      </c>
      <c r="I111" s="121" t="s">
        <v>5</v>
      </c>
      <c r="J111" s="121" t="s">
        <v>5</v>
      </c>
      <c r="K111" s="121" t="s">
        <v>5</v>
      </c>
      <c r="L111" s="121" t="s">
        <v>5</v>
      </c>
    </row>
    <row r="112" spans="1:12" ht="15">
      <c r="A112" s="100"/>
      <c r="B112" s="122" t="s">
        <v>5</v>
      </c>
      <c r="C112" s="122" t="s">
        <v>5</v>
      </c>
      <c r="D112" s="122" t="s">
        <v>5</v>
      </c>
      <c r="E112" s="122" t="s">
        <v>5</v>
      </c>
      <c r="F112" s="122" t="s">
        <v>5</v>
      </c>
      <c r="G112" s="122" t="s">
        <v>5</v>
      </c>
      <c r="H112" s="125" t="s">
        <v>5</v>
      </c>
      <c r="I112" s="357" t="s">
        <v>222</v>
      </c>
      <c r="J112" s="357" t="s">
        <v>222</v>
      </c>
      <c r="K112" s="357" t="s">
        <v>222</v>
      </c>
      <c r="L112" s="357" t="s">
        <v>222</v>
      </c>
    </row>
    <row r="113" spans="1:12" ht="15">
      <c r="A113" s="100"/>
      <c r="B113" s="122" t="s">
        <v>5</v>
      </c>
      <c r="C113" s="122" t="s">
        <v>5</v>
      </c>
      <c r="D113" s="122" t="s">
        <v>5</v>
      </c>
      <c r="E113" s="122" t="s">
        <v>5</v>
      </c>
      <c r="F113" s="122" t="s">
        <v>5</v>
      </c>
      <c r="G113" s="122" t="s">
        <v>5</v>
      </c>
      <c r="H113" s="125" t="s">
        <v>5</v>
      </c>
      <c r="I113" s="127" t="s">
        <v>180</v>
      </c>
      <c r="J113" s="127" t="s">
        <v>180</v>
      </c>
      <c r="K113" s="127" t="s">
        <v>180</v>
      </c>
      <c r="L113" s="127" t="s">
        <v>180</v>
      </c>
    </row>
    <row r="114" spans="1:12" ht="15">
      <c r="A114" s="100"/>
      <c r="B114" s="122" t="s">
        <v>5</v>
      </c>
      <c r="C114" s="122" t="s">
        <v>5</v>
      </c>
      <c r="D114" s="122" t="s">
        <v>5</v>
      </c>
      <c r="E114" s="122" t="s">
        <v>5</v>
      </c>
      <c r="F114" s="122" t="s">
        <v>5</v>
      </c>
      <c r="G114" s="122" t="s">
        <v>5</v>
      </c>
      <c r="H114" s="125" t="s">
        <v>5</v>
      </c>
      <c r="I114" s="357" t="s">
        <v>223</v>
      </c>
      <c r="J114" s="357" t="s">
        <v>223</v>
      </c>
      <c r="K114" s="357" t="s">
        <v>223</v>
      </c>
      <c r="L114" s="357" t="s">
        <v>223</v>
      </c>
    </row>
    <row r="115" spans="1:12" ht="15">
      <c r="A115" s="100"/>
      <c r="B115" s="123" t="s">
        <v>5</v>
      </c>
      <c r="C115" s="123" t="s">
        <v>5</v>
      </c>
      <c r="D115" s="123" t="s">
        <v>5</v>
      </c>
      <c r="E115" s="123" t="s">
        <v>5</v>
      </c>
      <c r="F115" s="123" t="s">
        <v>5</v>
      </c>
      <c r="G115" s="123" t="s">
        <v>5</v>
      </c>
      <c r="H115" s="126" t="s">
        <v>5</v>
      </c>
      <c r="I115" s="128" t="s">
        <v>178</v>
      </c>
      <c r="J115" s="128" t="s">
        <v>178</v>
      </c>
      <c r="K115" s="128" t="s">
        <v>178</v>
      </c>
      <c r="L115" s="128" t="s">
        <v>178</v>
      </c>
    </row>
    <row r="116" spans="1:12" ht="15">
      <c r="A116" s="100"/>
      <c r="B116" s="124" t="s">
        <v>5</v>
      </c>
      <c r="C116" s="124" t="s">
        <v>5</v>
      </c>
      <c r="D116" s="124" t="s">
        <v>5</v>
      </c>
      <c r="E116" s="124" t="s">
        <v>5</v>
      </c>
      <c r="F116" s="124" t="s">
        <v>5</v>
      </c>
      <c r="G116" s="124" t="s">
        <v>5</v>
      </c>
      <c r="H116" s="124" t="s">
        <v>5</v>
      </c>
      <c r="I116" s="121" t="s">
        <v>5</v>
      </c>
      <c r="J116" s="121" t="s">
        <v>5</v>
      </c>
      <c r="K116" s="121" t="s">
        <v>5</v>
      </c>
      <c r="L116" s="121" t="s">
        <v>5</v>
      </c>
    </row>
    <row r="117" spans="1:12" ht="15">
      <c r="A117" s="100"/>
      <c r="B117" s="125" t="s">
        <v>5</v>
      </c>
      <c r="C117" s="125" t="s">
        <v>5</v>
      </c>
      <c r="D117" s="125" t="s">
        <v>5</v>
      </c>
      <c r="E117" s="125" t="s">
        <v>5</v>
      </c>
      <c r="F117" s="125" t="s">
        <v>5</v>
      </c>
      <c r="G117" s="125" t="s">
        <v>5</v>
      </c>
      <c r="H117" s="125" t="s">
        <v>5</v>
      </c>
      <c r="I117" s="127">
        <v>0</v>
      </c>
      <c r="J117" s="127">
        <v>0</v>
      </c>
      <c r="K117" s="127">
        <v>0</v>
      </c>
      <c r="L117" s="127">
        <v>0</v>
      </c>
    </row>
    <row r="118" spans="1:12" ht="15">
      <c r="A118" s="100"/>
      <c r="B118" s="125" t="s">
        <v>5</v>
      </c>
      <c r="C118" s="125" t="s">
        <v>5</v>
      </c>
      <c r="D118" s="125" t="s">
        <v>5</v>
      </c>
      <c r="E118" s="125" t="s">
        <v>5</v>
      </c>
      <c r="F118" s="125" t="s">
        <v>5</v>
      </c>
      <c r="G118" s="125" t="s">
        <v>5</v>
      </c>
      <c r="H118" s="125" t="s">
        <v>5</v>
      </c>
      <c r="I118" s="127">
        <v>1</v>
      </c>
      <c r="J118" s="127">
        <v>1</v>
      </c>
      <c r="K118" s="127">
        <v>1</v>
      </c>
      <c r="L118" s="127">
        <v>1</v>
      </c>
    </row>
    <row r="119" spans="1:12" ht="15">
      <c r="A119" s="100"/>
      <c r="B119" s="125" t="s">
        <v>5</v>
      </c>
      <c r="C119" s="125" t="s">
        <v>5</v>
      </c>
      <c r="D119" s="125" t="s">
        <v>5</v>
      </c>
      <c r="E119" s="125" t="s">
        <v>5</v>
      </c>
      <c r="F119" s="125" t="s">
        <v>5</v>
      </c>
      <c r="G119" s="125" t="s">
        <v>5</v>
      </c>
      <c r="H119" s="125" t="s">
        <v>5</v>
      </c>
      <c r="I119" s="127">
        <v>2</v>
      </c>
      <c r="J119" s="127">
        <v>2</v>
      </c>
      <c r="K119" s="127">
        <v>2</v>
      </c>
      <c r="L119" s="127">
        <v>2</v>
      </c>
    </row>
    <row r="120" spans="1:12" ht="15">
      <c r="A120" s="102"/>
      <c r="B120" s="126" t="s">
        <v>5</v>
      </c>
      <c r="C120" s="126" t="s">
        <v>5</v>
      </c>
      <c r="D120" s="126" t="s">
        <v>5</v>
      </c>
      <c r="E120" s="126" t="s">
        <v>5</v>
      </c>
      <c r="F120" s="126" t="s">
        <v>5</v>
      </c>
      <c r="G120" s="126" t="s">
        <v>5</v>
      </c>
      <c r="H120" s="126" t="s">
        <v>5</v>
      </c>
      <c r="I120" s="128">
        <v>3</v>
      </c>
      <c r="J120" s="128">
        <v>3</v>
      </c>
      <c r="K120" s="128">
        <v>3</v>
      </c>
      <c r="L120" s="128">
        <v>3</v>
      </c>
    </row>
  </sheetData>
  <sheetProtection password="DFE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MICOM NOMENCLATURE</dc:title>
  <dc:subject/>
  <dc:creator>'Mac' Macfarlane</dc:creator>
  <cp:keywords/>
  <dc:description/>
  <cp:lastModifiedBy>K</cp:lastModifiedBy>
  <cp:lastPrinted>2011-12-02T12:38:09Z</cp:lastPrinted>
  <dcterms:created xsi:type="dcterms:W3CDTF">2000-07-19T13:34:51Z</dcterms:created>
  <dcterms:modified xsi:type="dcterms:W3CDTF">2018-02-28T09:05:00Z</dcterms:modified>
  <cp:category/>
  <cp:version/>
  <cp:contentType/>
  <cp:contentStatus/>
</cp:coreProperties>
</file>