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45" windowHeight="9285" activeTab="0"/>
  </bookViews>
  <sheets>
    <sheet name="Cortec" sheetId="1" r:id="rId1"/>
    <sheet name="Configurator" sheetId="2" r:id="rId2"/>
    <sheet name="Master Text" sheetId="3" r:id="rId3"/>
    <sheet name="Tendering" sheetId="4" r:id="rId4"/>
    <sheet name="Processor Lookup" sheetId="5" state="hidden" r:id="rId5"/>
    <sheet name="Date Drivers" sheetId="6" state="hidden" r:id="rId6"/>
    <sheet name="Date Drivers HIST" sheetId="7" state="hidden" r:id="rId7"/>
    <sheet name="Codes" sheetId="8" state="hidden" r:id="rId8"/>
    <sheet name="Codes HIST" sheetId="9" state="hidden" r:id="rId9"/>
    <sheet name="Database" sheetId="10" state="hidden" r:id="rId10"/>
  </sheets>
  <externalReferences>
    <externalReference r:id="rId13"/>
  </externalReferences>
  <definedNames>
    <definedName name="Contacts" localSheetId="0">#REF!</definedName>
    <definedName name="Contacts">#REF!</definedName>
    <definedName name="Input_Area" localSheetId="0">#REF!,#REF!,#REF!,#REF!</definedName>
    <definedName name="Input_Area">#REF!,#REF!,#REF!,#REF!</definedName>
    <definedName name="Input_Area1" localSheetId="0">#REF!,#REF!,#REF!,#REF!,#REF!,#REF!,#REF!,#REF!</definedName>
    <definedName name="Input_Area1">#REF!,#REF!,#REF!,#REF!,#REF!,#REF!,#REF!,#REF!</definedName>
    <definedName name="Input_Area2" localSheetId="0">#REF!,#REF!,#REF!,#REF!</definedName>
    <definedName name="Input_Area2">#REF!,#REF!,#REF!,#REF!</definedName>
    <definedName name="Nomenclature" localSheetId="0">#REF!:#REF!</definedName>
    <definedName name="Nomenclature">#REF!:#REF!</definedName>
    <definedName name="_xlnm.Print_Area" localSheetId="1">'Configurator'!$A$1:$U$40</definedName>
    <definedName name="_xlnm.Print_Area" localSheetId="2">'Master Text'!$A$1:$C$29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<sst xmlns="http://schemas.openxmlformats.org/spreadsheetml/2006/main" count="26140" uniqueCount="1660">
  <si>
    <t>SLOT 02</t>
  </si>
  <si>
    <t>1</t>
  </si>
  <si>
    <t>3</t>
  </si>
  <si>
    <t>34</t>
  </si>
  <si>
    <t>54</t>
  </si>
  <si>
    <t>84</t>
  </si>
  <si>
    <t>32</t>
  </si>
  <si>
    <t>33</t>
  </si>
  <si>
    <t>52</t>
  </si>
  <si>
    <t>53</t>
  </si>
  <si>
    <t>82</t>
  </si>
  <si>
    <t>83</t>
  </si>
  <si>
    <t>81</t>
  </si>
  <si>
    <t>31</t>
  </si>
  <si>
    <t>51</t>
  </si>
  <si>
    <t>0</t>
  </si>
  <si>
    <t>F</t>
  </si>
  <si>
    <t>G</t>
  </si>
  <si>
    <t>-702</t>
  </si>
  <si>
    <t>-80*</t>
  </si>
  <si>
    <t>Russian (English)</t>
  </si>
  <si>
    <t>Not yet available - Polish (English)</t>
  </si>
  <si>
    <t>HNS 23</t>
  </si>
  <si>
    <t>HOS 23</t>
  </si>
  <si>
    <t>HPS 23</t>
  </si>
  <si>
    <t>ING 23</t>
  </si>
  <si>
    <t>IOG 23</t>
  </si>
  <si>
    <t>IPG 23</t>
  </si>
  <si>
    <t>ING 24</t>
  </si>
  <si>
    <t>ING 26</t>
  </si>
  <si>
    <t>IOG 24</t>
  </si>
  <si>
    <t>IOG 26</t>
  </si>
  <si>
    <t>IPG 24</t>
  </si>
  <si>
    <t>IPG 26</t>
  </si>
  <si>
    <t>Not yet available - Russian (English)</t>
  </si>
  <si>
    <t>-805</t>
  </si>
  <si>
    <t>H</t>
  </si>
  <si>
    <t>-603</t>
  </si>
  <si>
    <t>I</t>
  </si>
  <si>
    <t>J</t>
  </si>
  <si>
    <t>E9651908</t>
  </si>
  <si>
    <t>V</t>
  </si>
  <si>
    <t>307-4xx-613-717</t>
  </si>
  <si>
    <t>T</t>
  </si>
  <si>
    <t>X</t>
  </si>
  <si>
    <t>K</t>
  </si>
  <si>
    <t>L</t>
  </si>
  <si>
    <t>***</t>
  </si>
  <si>
    <t>M</t>
  </si>
  <si>
    <t xml:space="preserve">    </t>
  </si>
  <si>
    <t>-604</t>
  </si>
  <si>
    <t>QA</t>
  </si>
  <si>
    <t>QB</t>
  </si>
  <si>
    <t>-631</t>
  </si>
  <si>
    <t>Chinese (English)</t>
  </si>
  <si>
    <t>Not yet available - Chinese (English)</t>
  </si>
  <si>
    <t>N</t>
  </si>
  <si>
    <t>O</t>
  </si>
  <si>
    <t>Not yet available - English (English)</t>
  </si>
  <si>
    <t>Standard Version</t>
  </si>
  <si>
    <t>18V (Standard)</t>
  </si>
  <si>
    <t>90V (60 to 70% of Vnom = 125 to 150V)</t>
  </si>
  <si>
    <t>155V (60 to 70% of Vnom = 220 to 250V)</t>
  </si>
  <si>
    <t>-461</t>
  </si>
  <si>
    <t>-462</t>
  </si>
  <si>
    <t xml:space="preserve">Not yet Available </t>
  </si>
  <si>
    <t>-921</t>
  </si>
  <si>
    <t>-922</t>
  </si>
  <si>
    <t>-924</t>
  </si>
  <si>
    <t>English (English)</t>
  </si>
  <si>
    <t>****</t>
  </si>
  <si>
    <t>11</t>
  </si>
  <si>
    <t>12</t>
  </si>
  <si>
    <t>22</t>
  </si>
  <si>
    <t>23</t>
  </si>
  <si>
    <t>41</t>
  </si>
  <si>
    <t>42</t>
  </si>
  <si>
    <t>43</t>
  </si>
  <si>
    <t>307-4xx-614-728</t>
  </si>
  <si>
    <t xml:space="preserve">  Inom = 1 / 5A (NCIT : 22.5 mV at 50A)</t>
  </si>
  <si>
    <t>Latest version automatically displayed, for previous version enter date from "Availability" tab here -&gt;</t>
  </si>
  <si>
    <t>Voltage Threshols for binary inputs</t>
  </si>
  <si>
    <t>Inter-MiCOM</t>
  </si>
  <si>
    <t>Comms</t>
  </si>
  <si>
    <t>AA</t>
  </si>
  <si>
    <t>P</t>
  </si>
  <si>
    <t xml:space="preserve">B2B </t>
  </si>
  <si>
    <t xml:space="preserve">B4B </t>
  </si>
  <si>
    <t xml:space="preserve">B3B </t>
  </si>
  <si>
    <t>B2BA</t>
  </si>
  <si>
    <t>B4BA</t>
  </si>
  <si>
    <t>B3BA</t>
  </si>
  <si>
    <t>B2BB</t>
  </si>
  <si>
    <t>B4BB</t>
  </si>
  <si>
    <t>B3BB</t>
  </si>
  <si>
    <t>BBCB</t>
  </si>
  <si>
    <t>BDCB</t>
  </si>
  <si>
    <t>BCCB</t>
  </si>
  <si>
    <t xml:space="preserve">BBC </t>
  </si>
  <si>
    <t xml:space="preserve">BDC </t>
  </si>
  <si>
    <t xml:space="preserve">BCC </t>
  </si>
  <si>
    <t>BBBB</t>
  </si>
  <si>
    <t>BDBB</t>
  </si>
  <si>
    <t>BCBB</t>
  </si>
  <si>
    <t xml:space="preserve">CBD </t>
  </si>
  <si>
    <t xml:space="preserve">CDD </t>
  </si>
  <si>
    <t xml:space="preserve">CCD </t>
  </si>
  <si>
    <t>CBBB</t>
  </si>
  <si>
    <t>CDBB</t>
  </si>
  <si>
    <t>CCBB</t>
  </si>
  <si>
    <t>CB**</t>
  </si>
  <si>
    <t>CD**</t>
  </si>
  <si>
    <t>CC**</t>
  </si>
  <si>
    <t>**</t>
  </si>
  <si>
    <t>AC</t>
  </si>
  <si>
    <t>AD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</si>
  <si>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</si>
  <si>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</si>
  <si>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</si>
  <si>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</si>
  <si>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</si>
  <si>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</si>
  <si>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</si>
  <si>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</si>
  <si>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</si>
  <si>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AP</t>
  </si>
  <si>
    <t>AQ</t>
  </si>
  <si>
    <t>-618</t>
  </si>
  <si>
    <t>HNS 20</t>
  </si>
  <si>
    <t>HNS 21</t>
  </si>
  <si>
    <t>HOS 20</t>
  </si>
  <si>
    <t>HOS 21</t>
  </si>
  <si>
    <t>HPS 20</t>
  </si>
  <si>
    <t>HPS 21</t>
  </si>
  <si>
    <t>RR</t>
  </si>
  <si>
    <t>RS</t>
  </si>
  <si>
    <t>RT</t>
  </si>
  <si>
    <t>-633</t>
  </si>
  <si>
    <t>ING 20</t>
  </si>
  <si>
    <t>ING 21</t>
  </si>
  <si>
    <t>IOG 20</t>
  </si>
  <si>
    <t>IOG 21</t>
  </si>
  <si>
    <t>IPG 20</t>
  </si>
  <si>
    <t>IPG 21</t>
  </si>
  <si>
    <t>RU</t>
  </si>
  <si>
    <t>RV</t>
  </si>
  <si>
    <t>RX</t>
  </si>
  <si>
    <r>
      <t xml:space="preserve">Last Issue Used = </t>
    </r>
    <r>
      <rPr>
        <b/>
        <sz val="10"/>
        <rFont val="Arial"/>
        <family val="2"/>
      </rPr>
      <t>RX</t>
    </r>
  </si>
  <si>
    <t>-724</t>
  </si>
  <si>
    <t>HNQX20</t>
  </si>
  <si>
    <t>HNQX21</t>
  </si>
  <si>
    <t>HOQX20</t>
  </si>
  <si>
    <t>HOQX21</t>
  </si>
  <si>
    <t>HPQX20</t>
  </si>
  <si>
    <t>HPQX21</t>
  </si>
  <si>
    <t>QV</t>
  </si>
  <si>
    <t>QW</t>
  </si>
  <si>
    <t>QX</t>
  </si>
  <si>
    <t>HNQX22</t>
  </si>
  <si>
    <t>HOQX22</t>
  </si>
  <si>
    <t>HPQX22</t>
  </si>
  <si>
    <t>-630</t>
  </si>
  <si>
    <t>HNO 20</t>
  </si>
  <si>
    <t>HNO 21</t>
  </si>
  <si>
    <t>HOO 20</t>
  </si>
  <si>
    <t>HOO 21</t>
  </si>
  <si>
    <t>HPO 20</t>
  </si>
  <si>
    <t>HPO 21</t>
  </si>
  <si>
    <t>Polish (English)</t>
  </si>
  <si>
    <t>Extra Numbers in Model Number</t>
  </si>
  <si>
    <t>Not Available</t>
  </si>
  <si>
    <t>Inter-MiCOM if TGFM is Chosen</t>
  </si>
  <si>
    <t>Inter-MiCOM continued</t>
  </si>
  <si>
    <t>14</t>
  </si>
  <si>
    <t>24</t>
  </si>
  <si>
    <t>44</t>
  </si>
  <si>
    <t>61</t>
  </si>
  <si>
    <t>62</t>
  </si>
  <si>
    <t>-723</t>
  </si>
  <si>
    <t>GKNW20</t>
  </si>
  <si>
    <t>GKNW21</t>
  </si>
  <si>
    <t>GKNW22</t>
  </si>
  <si>
    <t>GKNW23</t>
  </si>
  <si>
    <t>GKNW25</t>
  </si>
  <si>
    <t>GLNW20</t>
  </si>
  <si>
    <t>GLNW21</t>
  </si>
  <si>
    <t>GLNW22</t>
  </si>
  <si>
    <t>GLNW23</t>
  </si>
  <si>
    <t>GLNW25</t>
  </si>
  <si>
    <t>GMNW20</t>
  </si>
  <si>
    <t>GMNW21</t>
  </si>
  <si>
    <t>GMNW22</t>
  </si>
  <si>
    <t>GMNW23</t>
  </si>
  <si>
    <t>GMNW25</t>
  </si>
  <si>
    <t>QP</t>
  </si>
  <si>
    <t>QQ</t>
  </si>
  <si>
    <t>QR</t>
  </si>
  <si>
    <t>63</t>
  </si>
  <si>
    <t>64</t>
  </si>
  <si>
    <t>Not Available with Transient Ground Fault Module fitted</t>
  </si>
  <si>
    <t>Q</t>
  </si>
  <si>
    <t>R</t>
  </si>
  <si>
    <t>S</t>
  </si>
  <si>
    <t>U</t>
  </si>
  <si>
    <t>W</t>
  </si>
  <si>
    <t>BOM</t>
  </si>
  <si>
    <t>SLOT 24 Z</t>
  </si>
  <si>
    <t>SLOT 40</t>
  </si>
  <si>
    <t>SLOT 22</t>
  </si>
  <si>
    <t>SLOT 45</t>
  </si>
  <si>
    <t>-605</t>
  </si>
  <si>
    <t>AR</t>
  </si>
  <si>
    <t>DDE</t>
  </si>
  <si>
    <t>AS</t>
  </si>
  <si>
    <t>DCE</t>
  </si>
  <si>
    <t>AT</t>
  </si>
  <si>
    <t>DC**</t>
  </si>
  <si>
    <t>BC**</t>
  </si>
  <si>
    <t>DBE</t>
  </si>
  <si>
    <t>CBE</t>
  </si>
  <si>
    <t>AU</t>
  </si>
  <si>
    <t>CDE</t>
  </si>
  <si>
    <t>AV</t>
  </si>
  <si>
    <t>CCE</t>
  </si>
  <si>
    <t>AW</t>
  </si>
  <si>
    <t>DB**</t>
  </si>
  <si>
    <t>DD**</t>
  </si>
  <si>
    <t>and 6 binary inputs and 6 output relays</t>
  </si>
  <si>
    <t>E9651367</t>
  </si>
  <si>
    <t>E9651366</t>
  </si>
  <si>
    <t>E9650212</t>
  </si>
  <si>
    <t>E9650299</t>
  </si>
  <si>
    <t>E9650300</t>
  </si>
  <si>
    <t>E9650320</t>
  </si>
  <si>
    <t>EGN9063001</t>
  </si>
  <si>
    <t>EGN9011012</t>
  </si>
  <si>
    <t>EGN9011013</t>
  </si>
  <si>
    <t>EGN9011015</t>
  </si>
  <si>
    <t>EGN9011045</t>
  </si>
  <si>
    <t>E9651914</t>
  </si>
  <si>
    <t>Additional options - continued</t>
  </si>
  <si>
    <t>Inter-MiCOM if 2BI is Chosen</t>
  </si>
  <si>
    <t>-634</t>
  </si>
  <si>
    <t>310-4xx-634</t>
  </si>
  <si>
    <t>JQH 20</t>
  </si>
  <si>
    <t>JQH 21</t>
  </si>
  <si>
    <t>JQH 24</t>
  </si>
  <si>
    <t>JQH 25</t>
  </si>
  <si>
    <t>JRH 20</t>
  </si>
  <si>
    <t>JRH 21</t>
  </si>
  <si>
    <t>JRH 24</t>
  </si>
  <si>
    <t>JRH 25</t>
  </si>
  <si>
    <t>JSH 20</t>
  </si>
  <si>
    <t>JSH 21</t>
  </si>
  <si>
    <t>JSH 24</t>
  </si>
  <si>
    <t>JSH 25</t>
  </si>
  <si>
    <t>SB</t>
  </si>
  <si>
    <t>SC</t>
  </si>
  <si>
    <t>SD</t>
  </si>
  <si>
    <t>-310</t>
  </si>
  <si>
    <t>for the control of 3 switchgear units.</t>
  </si>
  <si>
    <t>DEE</t>
  </si>
  <si>
    <t>DGE</t>
  </si>
  <si>
    <t>AX</t>
  </si>
  <si>
    <t>DFE</t>
  </si>
  <si>
    <t>AY</t>
  </si>
  <si>
    <t>CED</t>
  </si>
  <si>
    <t>AZ</t>
  </si>
  <si>
    <t>CGD</t>
  </si>
  <si>
    <t>BA</t>
  </si>
  <si>
    <t>CFD</t>
  </si>
  <si>
    <t>BB</t>
  </si>
  <si>
    <t>DF**</t>
  </si>
  <si>
    <t>CF**</t>
  </si>
  <si>
    <t>-301</t>
  </si>
  <si>
    <t>-601</t>
  </si>
  <si>
    <t>-***</t>
  </si>
  <si>
    <t>A1A</t>
  </si>
  <si>
    <t>DED</t>
  </si>
  <si>
    <t>BC</t>
  </si>
  <si>
    <t>DFD</t>
  </si>
  <si>
    <t>BD</t>
  </si>
  <si>
    <t>DGD</t>
  </si>
  <si>
    <t>BE</t>
  </si>
  <si>
    <t>Livery change</t>
  </si>
  <si>
    <t>Alstom (Available until 1/11/04)</t>
  </si>
  <si>
    <t>Areva (Available from 4/10/04)</t>
  </si>
  <si>
    <t>BOM MATERIAL</t>
  </si>
  <si>
    <t>MW</t>
  </si>
  <si>
    <t>MY</t>
  </si>
  <si>
    <t>MX</t>
  </si>
  <si>
    <t>DEE 10</t>
  </si>
  <si>
    <t>DEE 30</t>
  </si>
  <si>
    <t>DGE 10</t>
  </si>
  <si>
    <t>DGE 30</t>
  </si>
  <si>
    <t>DFE 10</t>
  </si>
  <si>
    <t>DFE 30</t>
  </si>
  <si>
    <t>DEE 11</t>
  </si>
  <si>
    <t>DGE 11</t>
  </si>
  <si>
    <t>DFE 11</t>
  </si>
  <si>
    <t>DEE 31</t>
  </si>
  <si>
    <t>DGE 31</t>
  </si>
  <si>
    <t>DFE 31</t>
  </si>
  <si>
    <t>CBD 12</t>
  </si>
  <si>
    <t>CBD 32</t>
  </si>
  <si>
    <t>CDD 12</t>
  </si>
  <si>
    <t>CDD 32</t>
  </si>
  <si>
    <t>CCD 12</t>
  </si>
  <si>
    <t>CCD 32</t>
  </si>
  <si>
    <t>CBD 13</t>
  </si>
  <si>
    <t>CBD 33</t>
  </si>
  <si>
    <t>CDD 13</t>
  </si>
  <si>
    <t>CDD 33</t>
  </si>
  <si>
    <t>CCD 13</t>
  </si>
  <si>
    <t>CCD 33</t>
  </si>
  <si>
    <t>CBD 15</t>
  </si>
  <si>
    <t>CBD 35</t>
  </si>
  <si>
    <t>CDD 15</t>
  </si>
  <si>
    <t>CDD 35</t>
  </si>
  <si>
    <t>CCD 15</t>
  </si>
  <si>
    <t>CCD 35</t>
  </si>
  <si>
    <t>DEE 20</t>
  </si>
  <si>
    <t>DGE 20</t>
  </si>
  <si>
    <t>DFE 20</t>
  </si>
  <si>
    <t>DEE 21</t>
  </si>
  <si>
    <t>DGE 21</t>
  </si>
  <si>
    <t>DFE 21</t>
  </si>
  <si>
    <t>CBD 22</t>
  </si>
  <si>
    <t>CDD 22</t>
  </si>
  <si>
    <t>CCD 22</t>
  </si>
  <si>
    <t>CBD 23</t>
  </si>
  <si>
    <t>CDD 23</t>
  </si>
  <si>
    <t>CCD 23</t>
  </si>
  <si>
    <t>CBD 25</t>
  </si>
  <si>
    <t>CDD 25</t>
  </si>
  <si>
    <t>CCD 25</t>
  </si>
  <si>
    <t>MK</t>
  </si>
  <si>
    <t>ML</t>
  </si>
  <si>
    <t>MM</t>
  </si>
  <si>
    <t>DED 10</t>
  </si>
  <si>
    <t>DED 30</t>
  </si>
  <si>
    <t>DGD 10</t>
  </si>
  <si>
    <t>DGD 30</t>
  </si>
  <si>
    <t>DFD 10</t>
  </si>
  <si>
    <t>DFD 30</t>
  </si>
  <si>
    <t>taken out to cover models in error</t>
  </si>
  <si>
    <t>CBD 11</t>
  </si>
  <si>
    <t>CBD 31</t>
  </si>
  <si>
    <t>CDD 11</t>
  </si>
  <si>
    <t>CDD 31</t>
  </si>
  <si>
    <t>CCD 11</t>
  </si>
  <si>
    <t>CCD 31</t>
  </si>
  <si>
    <t>DBE 10</t>
  </si>
  <si>
    <t>DBE 30</t>
  </si>
  <si>
    <t>DDE 10</t>
  </si>
  <si>
    <t>DDE 30</t>
  </si>
  <si>
    <t>DCE 10</t>
  </si>
  <si>
    <t>DCE 30</t>
  </si>
  <si>
    <t>B2B 11</t>
  </si>
  <si>
    <t>B2B 31</t>
  </si>
  <si>
    <t>B4B 11</t>
  </si>
  <si>
    <t>B4B 31</t>
  </si>
  <si>
    <t>B3B 11</t>
  </si>
  <si>
    <t>B3B 31</t>
  </si>
  <si>
    <t>B2BA11</t>
  </si>
  <si>
    <t>B2BA31</t>
  </si>
  <si>
    <t>B4BA11</t>
  </si>
  <si>
    <t>B4BA31</t>
  </si>
  <si>
    <t>B3BA11</t>
  </si>
  <si>
    <t>B3BA31</t>
  </si>
  <si>
    <t>B2BB11</t>
  </si>
  <si>
    <t>B2BB31</t>
  </si>
  <si>
    <t>B4BB11</t>
  </si>
  <si>
    <t>B4BB31</t>
  </si>
  <si>
    <t>B3BB11</t>
  </si>
  <si>
    <t>B3BB31</t>
  </si>
  <si>
    <t>BBCB11</t>
  </si>
  <si>
    <t>BBCB31</t>
  </si>
  <si>
    <t>BDCB11</t>
  </si>
  <si>
    <t>BDCB31</t>
  </si>
  <si>
    <t>BCCB11</t>
  </si>
  <si>
    <t>BCCB31</t>
  </si>
  <si>
    <t>BBC 11</t>
  </si>
  <si>
    <t>BBC 31</t>
  </si>
  <si>
    <t>BDC 11</t>
  </si>
  <si>
    <t>BDC 31</t>
  </si>
  <si>
    <t>BCC 11</t>
  </si>
  <si>
    <t>BCC 31</t>
  </si>
  <si>
    <t>CBBB15</t>
  </si>
  <si>
    <t>CBBB35</t>
  </si>
  <si>
    <t>CDBB15</t>
  </si>
  <si>
    <t>CDBB35</t>
  </si>
  <si>
    <t>CCBB15</t>
  </si>
  <si>
    <t>CCBB35</t>
  </si>
  <si>
    <t>-721</t>
  </si>
  <si>
    <t>GKNU20</t>
  </si>
  <si>
    <t>GKNU21</t>
  </si>
  <si>
    <t>GKNU22</t>
  </si>
  <si>
    <t>GKNU23</t>
  </si>
  <si>
    <t>GKNU25</t>
  </si>
  <si>
    <t>GLNU20</t>
  </si>
  <si>
    <t>GLNU21</t>
  </si>
  <si>
    <t>GLNU22</t>
  </si>
  <si>
    <t>GLNU23</t>
  </si>
  <si>
    <t>GLNU25</t>
  </si>
  <si>
    <t>GMNU20</t>
  </si>
  <si>
    <t>GMNU21</t>
  </si>
  <si>
    <t>GMNU22</t>
  </si>
  <si>
    <t>GMNU23</t>
  </si>
  <si>
    <t>GMNU25</t>
  </si>
  <si>
    <t>QF</t>
  </si>
  <si>
    <t>QG</t>
  </si>
  <si>
    <t>QH</t>
  </si>
  <si>
    <t>B2BB15</t>
  </si>
  <si>
    <t>B2BB35</t>
  </si>
  <si>
    <t>B3BB15</t>
  </si>
  <si>
    <t>B3BB35</t>
  </si>
  <si>
    <t>B4BB15</t>
  </si>
  <si>
    <t>B4BB35</t>
  </si>
  <si>
    <t>CBE 11</t>
  </si>
  <si>
    <t>CBE 31</t>
  </si>
  <si>
    <t>CDE 11</t>
  </si>
  <si>
    <t>CDE 31</t>
  </si>
  <si>
    <t>CCE 11</t>
  </si>
  <si>
    <t>CCE 31</t>
  </si>
  <si>
    <t>BBBB15</t>
  </si>
  <si>
    <t>BBBB35</t>
  </si>
  <si>
    <t>BDBB15</t>
  </si>
  <si>
    <t>BDBB35</t>
  </si>
  <si>
    <t>BCBB15</t>
  </si>
  <si>
    <t>BCBB35</t>
  </si>
  <si>
    <t>DED 11</t>
  </si>
  <si>
    <t>DED 31</t>
  </si>
  <si>
    <t>DGD 11</t>
  </si>
  <si>
    <t>DGD 31</t>
  </si>
  <si>
    <t>DFD 11</t>
  </si>
  <si>
    <t>DFD 31</t>
  </si>
  <si>
    <t>DED 12</t>
  </si>
  <si>
    <t>DED 32</t>
  </si>
  <si>
    <t>DGD 12</t>
  </si>
  <si>
    <t>DGD 32</t>
  </si>
  <si>
    <t>DFD 12</t>
  </si>
  <si>
    <t>DFD 32</t>
  </si>
  <si>
    <t>DED 33</t>
  </si>
  <si>
    <t>DGD 13</t>
  </si>
  <si>
    <t>DGD 33</t>
  </si>
  <si>
    <t>DFD 13</t>
  </si>
  <si>
    <t>DFD 33</t>
  </si>
  <si>
    <t>DED 13</t>
  </si>
  <si>
    <t>DED 35</t>
  </si>
  <si>
    <t>DGD 15</t>
  </si>
  <si>
    <t>DGD 35</t>
  </si>
  <si>
    <t>DFD 15</t>
  </si>
  <si>
    <t>DFD 35</t>
  </si>
  <si>
    <t>DED 15</t>
  </si>
  <si>
    <t>Without</t>
  </si>
  <si>
    <t>Basic device 40TE, CT/VT ring-, I/O pin-terminal connection,</t>
  </si>
  <si>
    <t>Basic device</t>
  </si>
  <si>
    <t>Mounting option and display</t>
  </si>
  <si>
    <t>Voltage transformer</t>
  </si>
  <si>
    <t>CT/VT-Boards with NCIT</t>
  </si>
  <si>
    <t>CT/VT-Boards with NCIT : Variant 1 : 22.5 mV at 50 A, 3.25 V at Vnom</t>
  </si>
  <si>
    <t>basic complement with 4 binary inputs and 8 output relays</t>
  </si>
  <si>
    <t>Protocol IEC61850 Not yet functional)</t>
  </si>
  <si>
    <t>-709</t>
  </si>
  <si>
    <t>FHKJ20</t>
  </si>
  <si>
    <t>FIKJ20</t>
  </si>
  <si>
    <t>FJKJ20</t>
  </si>
  <si>
    <t>FHKJ21</t>
  </si>
  <si>
    <t>HNRA20</t>
  </si>
  <si>
    <t>HNRA21</t>
  </si>
  <si>
    <t>HORA20</t>
  </si>
  <si>
    <t>HORA21</t>
  </si>
  <si>
    <t>HPRA20</t>
  </si>
  <si>
    <t>HPRA21</t>
  </si>
  <si>
    <t>RH</t>
  </si>
  <si>
    <t>RI</t>
  </si>
  <si>
    <t>RJ</t>
  </si>
  <si>
    <t>FIKJ21</t>
  </si>
  <si>
    <t>-722</t>
  </si>
  <si>
    <t>GKNV22</t>
  </si>
  <si>
    <t>GKNV23</t>
  </si>
  <si>
    <t>GKNV25</t>
  </si>
  <si>
    <t>GLNV22</t>
  </si>
  <si>
    <t>GLNV23</t>
  </si>
  <si>
    <t>GLNV25</t>
  </si>
  <si>
    <t>GMNV22</t>
  </si>
  <si>
    <t>GMNV23</t>
  </si>
  <si>
    <t>GMNV25</t>
  </si>
  <si>
    <t>QL</t>
  </si>
  <si>
    <t>QM</t>
  </si>
  <si>
    <t>QN</t>
  </si>
  <si>
    <t>GKNV20</t>
  </si>
  <si>
    <t>GKNV21</t>
  </si>
  <si>
    <t>GLNV20</t>
  </si>
  <si>
    <t>GLNV21</t>
  </si>
  <si>
    <t>GMNV20</t>
  </si>
  <si>
    <t>GMNV21</t>
  </si>
  <si>
    <t>FJKJ21</t>
  </si>
  <si>
    <t>FHKJ22</t>
  </si>
  <si>
    <t>FIKJ22</t>
  </si>
  <si>
    <t>FJKJ22</t>
  </si>
  <si>
    <t>FHKJ23</t>
  </si>
  <si>
    <t>FIKJ23</t>
  </si>
  <si>
    <t>FJKJ23</t>
  </si>
  <si>
    <t>NQ</t>
  </si>
  <si>
    <t>NS</t>
  </si>
  <si>
    <t>NR</t>
  </si>
  <si>
    <t>CBD 10</t>
  </si>
  <si>
    <t>CBD 30</t>
  </si>
  <si>
    <t>CDD 10</t>
  </si>
  <si>
    <t>CDD 30</t>
  </si>
  <si>
    <t>CCD 10</t>
  </si>
  <si>
    <t>CCD 30</t>
  </si>
  <si>
    <t xml:space="preserve">BCC 30 </t>
  </si>
  <si>
    <t>BCC 10</t>
  </si>
  <si>
    <t>BBC 10</t>
  </si>
  <si>
    <t>BBC 30</t>
  </si>
  <si>
    <t>BDC 10</t>
  </si>
  <si>
    <t>BDC 30</t>
  </si>
  <si>
    <t>308-4xx-630</t>
  </si>
  <si>
    <t>BBCB10</t>
  </si>
  <si>
    <t>BBCB30</t>
  </si>
  <si>
    <t>BDCB10</t>
  </si>
  <si>
    <t>BDCB30</t>
  </si>
  <si>
    <t>BCCB10</t>
  </si>
  <si>
    <t>BCCB30</t>
  </si>
  <si>
    <t>B3BB30</t>
  </si>
  <si>
    <t>B2BB10</t>
  </si>
  <si>
    <t>B2BB30</t>
  </si>
  <si>
    <t>B4BB10</t>
  </si>
  <si>
    <t>B4BB30</t>
  </si>
  <si>
    <t>B3BB10</t>
  </si>
  <si>
    <t>B2BA10</t>
  </si>
  <si>
    <t>B2BA30</t>
  </si>
  <si>
    <t>B4BA10</t>
  </si>
  <si>
    <t>PZ</t>
  </si>
  <si>
    <t>***2*</t>
  </si>
  <si>
    <t>B4BA30</t>
  </si>
  <si>
    <t>B3BA10</t>
  </si>
  <si>
    <t>B3BA30</t>
  </si>
  <si>
    <t>B2B 10</t>
  </si>
  <si>
    <t>B2B 30</t>
  </si>
  <si>
    <t>B4B 10</t>
  </si>
  <si>
    <t>B4B 30</t>
  </si>
  <si>
    <t>B3B 10</t>
  </si>
  <si>
    <t>B3B 30</t>
  </si>
  <si>
    <t>A1A 10</t>
  </si>
  <si>
    <t>A1A 30</t>
  </si>
  <si>
    <t>LX</t>
  </si>
  <si>
    <t>LY</t>
  </si>
  <si>
    <t>LZ</t>
  </si>
  <si>
    <t>LT</t>
  </si>
  <si>
    <t>LV</t>
  </si>
  <si>
    <t>LW</t>
  </si>
  <si>
    <t>LQ</t>
  </si>
  <si>
    <t>LR</t>
  </si>
  <si>
    <t>LS</t>
  </si>
  <si>
    <t>LP</t>
  </si>
  <si>
    <t>Not yet available - German (English)</t>
  </si>
  <si>
    <t>NT</t>
  </si>
  <si>
    <t>NV</t>
  </si>
  <si>
    <t>NU</t>
  </si>
  <si>
    <t>-728</t>
  </si>
  <si>
    <t>GKNB20</t>
  </si>
  <si>
    <t>GKNB21</t>
  </si>
  <si>
    <t>GKNB22</t>
  </si>
  <si>
    <t>GKNB23</t>
  </si>
  <si>
    <t>GKNB25</t>
  </si>
  <si>
    <t>GLNB20</t>
  </si>
  <si>
    <t>GLNB21</t>
  </si>
  <si>
    <t>GLNB22</t>
  </si>
  <si>
    <t>GLNB23</t>
  </si>
  <si>
    <t>GLNB25</t>
  </si>
  <si>
    <t>GMNB20</t>
  </si>
  <si>
    <t>GMNB21</t>
  </si>
  <si>
    <t>GMNB22</t>
  </si>
  <si>
    <t>GMNB23</t>
  </si>
  <si>
    <t>GMNB25</t>
  </si>
  <si>
    <t>RN</t>
  </si>
  <si>
    <t>101</t>
  </si>
  <si>
    <t>102</t>
  </si>
  <si>
    <t>103</t>
  </si>
  <si>
    <t>104</t>
  </si>
  <si>
    <t>111</t>
  </si>
  <si>
    <t>112</t>
  </si>
  <si>
    <t>113</t>
  </si>
  <si>
    <t>114</t>
  </si>
  <si>
    <t>KQH 20</t>
  </si>
  <si>
    <t>KQH 21</t>
  </si>
  <si>
    <t>KQH 24</t>
  </si>
  <si>
    <t>KQH 25</t>
  </si>
  <si>
    <t>KRH 20</t>
  </si>
  <si>
    <t>KRH 21</t>
  </si>
  <si>
    <t>KRH 24</t>
  </si>
  <si>
    <t>KRH 25</t>
  </si>
  <si>
    <t>KSH 20</t>
  </si>
  <si>
    <t>KSH 21</t>
  </si>
  <si>
    <t>KSH 24</t>
  </si>
  <si>
    <t>KSH 25</t>
  </si>
  <si>
    <t>LTH 20</t>
  </si>
  <si>
    <t>LUH 20</t>
  </si>
  <si>
    <t>LVH 20</t>
  </si>
  <si>
    <t>LTH 25</t>
  </si>
  <si>
    <t>LTH 21</t>
  </si>
  <si>
    <t>LTH 24</t>
  </si>
  <si>
    <t>LUH 21</t>
  </si>
  <si>
    <t>LUH 24</t>
  </si>
  <si>
    <t>LUH 25</t>
  </si>
  <si>
    <t>LVH 21</t>
  </si>
  <si>
    <t>LVH 24</t>
  </si>
  <si>
    <t>LVH 25</t>
  </si>
  <si>
    <t>SL</t>
  </si>
  <si>
    <t>SM</t>
  </si>
  <si>
    <t>SN</t>
  </si>
  <si>
    <t>-312</t>
  </si>
  <si>
    <t>Cortec Landing cell :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</si>
  <si>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</si>
  <si>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</si>
  <si>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</si>
  <si>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</si>
  <si>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</si>
  <si>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</si>
  <si>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>$B$1</t>
  </si>
  <si>
    <t>$B$20</t>
  </si>
  <si>
    <t>$B$25</t>
  </si>
  <si>
    <t>$B$35</t>
  </si>
  <si>
    <t>$B$41</t>
  </si>
  <si>
    <t>$B$45</t>
  </si>
  <si>
    <t>$B$57</t>
  </si>
  <si>
    <t>$B$70</t>
  </si>
  <si>
    <t>$B$76</t>
  </si>
  <si>
    <t>$B$81</t>
  </si>
  <si>
    <t>$B$86</t>
  </si>
  <si>
    <t>$B$93</t>
  </si>
  <si>
    <t>$B$100</t>
  </si>
  <si>
    <t>$B$110</t>
  </si>
  <si>
    <t>$B$140</t>
  </si>
  <si>
    <t>312-4xx-634</t>
  </si>
  <si>
    <t>-732</t>
  </si>
  <si>
    <t>LTHE20</t>
  </si>
  <si>
    <t>LTHE21</t>
  </si>
  <si>
    <t>LTHE22</t>
  </si>
  <si>
    <t>LTHE23</t>
  </si>
  <si>
    <t>LTHE24</t>
  </si>
  <si>
    <t>LTHE25</t>
  </si>
  <si>
    <t>LUHE20</t>
  </si>
  <si>
    <t>LUHE21</t>
  </si>
  <si>
    <t>LUHE22</t>
  </si>
  <si>
    <t>LUHE23</t>
  </si>
  <si>
    <t>LUHE24</t>
  </si>
  <si>
    <t>LUHE25</t>
  </si>
  <si>
    <t>LVHE20</t>
  </si>
  <si>
    <t>LVHE21</t>
  </si>
  <si>
    <t>LVHE22</t>
  </si>
  <si>
    <t>LVHE23</t>
  </si>
  <si>
    <t>LVHE24</t>
  </si>
  <si>
    <t>LVHE25</t>
  </si>
  <si>
    <t>SP</t>
  </si>
  <si>
    <t>SQ</t>
  </si>
  <si>
    <t>SR</t>
  </si>
  <si>
    <t>312-4xx-634-732</t>
  </si>
  <si>
    <t>-734</t>
  </si>
  <si>
    <t>308-4xx-618-734</t>
  </si>
  <si>
    <t>HNSG20</t>
  </si>
  <si>
    <t>HNSG21</t>
  </si>
  <si>
    <t>HNSG23</t>
  </si>
  <si>
    <t>HOSG20</t>
  </si>
  <si>
    <t>HOSG21</t>
  </si>
  <si>
    <t>HOSG23</t>
  </si>
  <si>
    <t>HPSG20</t>
  </si>
  <si>
    <t>HPSG21</t>
  </si>
  <si>
    <t>HPSG23</t>
  </si>
  <si>
    <t>SS</t>
  </si>
  <si>
    <t>ST</t>
  </si>
  <si>
    <t>SU</t>
  </si>
  <si>
    <t>ATEX II (2) G</t>
  </si>
  <si>
    <t>HNSG22</t>
  </si>
  <si>
    <t>HNSG25</t>
  </si>
  <si>
    <t>HOSG22</t>
  </si>
  <si>
    <t>HOSG25</t>
  </si>
  <si>
    <t>HPSG22</t>
  </si>
  <si>
    <t>HPSG25</t>
  </si>
  <si>
    <t>RP</t>
  </si>
  <si>
    <t>RQ</t>
  </si>
  <si>
    <t>-411</t>
  </si>
  <si>
    <t>-412</t>
  </si>
  <si>
    <t>-413</t>
  </si>
  <si>
    <t>MiCOM P139</t>
  </si>
  <si>
    <t>-471</t>
  </si>
  <si>
    <t>-472</t>
  </si>
  <si>
    <t>311-4xx-634</t>
  </si>
  <si>
    <t>-731</t>
  </si>
  <si>
    <t>307-4xx-614-731</t>
  </si>
  <si>
    <t>GKND20</t>
  </si>
  <si>
    <t>GKND21</t>
  </si>
  <si>
    <t>GLND20</t>
  </si>
  <si>
    <t>GLND21</t>
  </si>
  <si>
    <t>GMND20</t>
  </si>
  <si>
    <t>GMND21</t>
  </si>
  <si>
    <t>SH</t>
  </si>
  <si>
    <t>SJ</t>
  </si>
  <si>
    <t>SK</t>
  </si>
  <si>
    <t>-710</t>
  </si>
  <si>
    <t>-612</t>
  </si>
  <si>
    <t>GKLK20</t>
  </si>
  <si>
    <t>MD</t>
  </si>
  <si>
    <t>MF</t>
  </si>
  <si>
    <t>ME</t>
  </si>
  <si>
    <t>GLLK20</t>
  </si>
  <si>
    <t>GMLK20</t>
  </si>
  <si>
    <t>GKLK21</t>
  </si>
  <si>
    <t>GLLK21</t>
  </si>
  <si>
    <t>GMLK21</t>
  </si>
  <si>
    <t>-6**</t>
  </si>
  <si>
    <t>-7**</t>
  </si>
  <si>
    <t>-8**</t>
  </si>
  <si>
    <t>GKLK22</t>
  </si>
  <si>
    <t>GLLK22</t>
  </si>
  <si>
    <t>GMLK22</t>
  </si>
  <si>
    <t>-712</t>
  </si>
  <si>
    <t>-711</t>
  </si>
  <si>
    <t>IEC61850 : Not yet available</t>
  </si>
  <si>
    <t>FHKK20</t>
  </si>
  <si>
    <t>FIKK20</t>
  </si>
  <si>
    <t>FJKK20</t>
  </si>
  <si>
    <t>FHKK21</t>
  </si>
  <si>
    <t>FIKK21</t>
  </si>
  <si>
    <t>FJKK21</t>
  </si>
  <si>
    <t>FHKK22</t>
  </si>
  <si>
    <t>FIKK22</t>
  </si>
  <si>
    <t>FJKK22</t>
  </si>
  <si>
    <t>FHKK23</t>
  </si>
  <si>
    <t>FIKK23</t>
  </si>
  <si>
    <t>FJKK23</t>
  </si>
  <si>
    <t>NW</t>
  </si>
  <si>
    <t>NX</t>
  </si>
  <si>
    <t>NY</t>
  </si>
  <si>
    <t>GKLL20</t>
  </si>
  <si>
    <t>GLLL20</t>
  </si>
  <si>
    <t>GMLL20</t>
  </si>
  <si>
    <t>GKLL21</t>
  </si>
  <si>
    <t>GLLL21</t>
  </si>
  <si>
    <t>GMLL21</t>
  </si>
  <si>
    <t>GKLL22</t>
  </si>
  <si>
    <t>GLLL22</t>
  </si>
  <si>
    <t>GMLL22</t>
  </si>
  <si>
    <t>GKLL23</t>
  </si>
  <si>
    <t>GLLL23</t>
  </si>
  <si>
    <t>GMLL23</t>
  </si>
  <si>
    <t>NZ</t>
  </si>
  <si>
    <t>PA</t>
  </si>
  <si>
    <t>PB</t>
  </si>
  <si>
    <t>Switched (IEC 60870-5-101/-103, Modbus, DNP3.0, Courier) &amp; (IRIG-B)</t>
  </si>
  <si>
    <t>-719</t>
  </si>
  <si>
    <t>GKNS20</t>
  </si>
  <si>
    <t>GLNS20</t>
  </si>
  <si>
    <t>GMNS20</t>
  </si>
  <si>
    <t>GKNS21</t>
  </si>
  <si>
    <t>GLNS21</t>
  </si>
  <si>
    <t>GMNS21</t>
  </si>
  <si>
    <t>GKNS22</t>
  </si>
  <si>
    <t>GLNS22</t>
  </si>
  <si>
    <t>GMNS22</t>
  </si>
  <si>
    <t>GKNS23</t>
  </si>
  <si>
    <t>GLNS23</t>
  </si>
  <si>
    <t>GMNS23</t>
  </si>
  <si>
    <t>GKNS25</t>
  </si>
  <si>
    <t>GLNS25</t>
  </si>
  <si>
    <t>GMNS25</t>
  </si>
  <si>
    <t>PW</t>
  </si>
  <si>
    <t>PX</t>
  </si>
  <si>
    <t>PY</t>
  </si>
  <si>
    <t>Protocol can be switched between: IEC 60870-5-101/-103, Modbus, DNP3.0, Courier and IRIG-B for clock synchronisation and 2nd interface (RS485, IEC 60870-5-103)</t>
  </si>
  <si>
    <t>for connection to wire, RS485, isolated</t>
  </si>
  <si>
    <t>for connection to plastic fibre, FSMA connector</t>
  </si>
  <si>
    <t>for connection to glass fibre, ST connector</t>
  </si>
  <si>
    <t>-613</t>
  </si>
  <si>
    <t>PE</t>
  </si>
  <si>
    <t>PD</t>
  </si>
  <si>
    <t>PC</t>
  </si>
  <si>
    <t>-713</t>
  </si>
  <si>
    <t>GKMM20</t>
  </si>
  <si>
    <t>GKMM21</t>
  </si>
  <si>
    <t>GKMM22</t>
  </si>
  <si>
    <t>GLMM21</t>
  </si>
  <si>
    <t>GMMM21</t>
  </si>
  <si>
    <t>GLMM22</t>
  </si>
  <si>
    <t>GMMM22</t>
  </si>
  <si>
    <t>GLMM20</t>
  </si>
  <si>
    <t>GMMM20</t>
  </si>
  <si>
    <t>Surface mounted, local control panel with graphic display and fixed HMI</t>
  </si>
  <si>
    <t>Flush/Rack mounted, local control panel with graphic display and fixed HMI</t>
  </si>
  <si>
    <t>-716</t>
  </si>
  <si>
    <t>GKMP20</t>
  </si>
  <si>
    <t>GLMP20</t>
  </si>
  <si>
    <t>GMMP20</t>
  </si>
  <si>
    <t>GKMP21</t>
  </si>
  <si>
    <t>GLMP21</t>
  </si>
  <si>
    <t>GMMP21</t>
  </si>
  <si>
    <t>GKMP22</t>
  </si>
  <si>
    <t>GLMP22</t>
  </si>
  <si>
    <t>GMMP22</t>
  </si>
  <si>
    <t>PF</t>
  </si>
  <si>
    <t>PG</t>
  </si>
  <si>
    <t>PH</t>
  </si>
  <si>
    <t>-717</t>
  </si>
  <si>
    <t>GKMQ20</t>
  </si>
  <si>
    <t>GLMQ20</t>
  </si>
  <si>
    <t>GMMQ20</t>
  </si>
  <si>
    <t>GKMQ21</t>
  </si>
  <si>
    <t>GLMQ21</t>
  </si>
  <si>
    <t>GMMQ21</t>
  </si>
  <si>
    <t>PJ</t>
  </si>
  <si>
    <t>PK</t>
  </si>
  <si>
    <t>With 1 binary module (add. 6 binary inputs and 6 output relays (2-pole))</t>
  </si>
  <si>
    <t>PL</t>
  </si>
  <si>
    <t>-614</t>
  </si>
  <si>
    <t>GKN 20</t>
  </si>
  <si>
    <t>GLN 20</t>
  </si>
  <si>
    <t>GMN 20</t>
  </si>
  <si>
    <t>GKN 21</t>
  </si>
  <si>
    <t>GLN 21</t>
  </si>
  <si>
    <t>GMN 21</t>
  </si>
  <si>
    <t>PM</t>
  </si>
  <si>
    <t>PN</t>
  </si>
  <si>
    <t>PP</t>
  </si>
  <si>
    <t>PT</t>
  </si>
  <si>
    <t>PU</t>
  </si>
  <si>
    <t>PV</t>
  </si>
  <si>
    <t>GKMQ22</t>
  </si>
  <si>
    <t>GLMQ22</t>
  </si>
  <si>
    <t>GMMQ22</t>
  </si>
  <si>
    <t>GKMQ23</t>
  </si>
  <si>
    <t>GLMQ23</t>
  </si>
  <si>
    <t>GMMQ23</t>
  </si>
  <si>
    <t>GKN 23</t>
  </si>
  <si>
    <t>GLN 23</t>
  </si>
  <si>
    <t>GMN 23</t>
  </si>
  <si>
    <t>-714</t>
  </si>
  <si>
    <t>GKLN20</t>
  </si>
  <si>
    <t>GLLN20</t>
  </si>
  <si>
    <t>GMLN20</t>
  </si>
  <si>
    <t>GKLN21</t>
  </si>
  <si>
    <t>GLLN21</t>
  </si>
  <si>
    <t>GMLN21</t>
  </si>
  <si>
    <t>GKLN22</t>
  </si>
  <si>
    <t>GLLN22</t>
  </si>
  <si>
    <t>GMLN22</t>
  </si>
  <si>
    <t>PQ</t>
  </si>
  <si>
    <t>PR</t>
  </si>
  <si>
    <t>PS</t>
  </si>
  <si>
    <t>-307</t>
  </si>
  <si>
    <t>-718</t>
  </si>
  <si>
    <t>GKNR20</t>
  </si>
  <si>
    <t>GLNR20</t>
  </si>
  <si>
    <t>GMNR20</t>
  </si>
  <si>
    <t>GKNR21</t>
  </si>
  <si>
    <t>GLNR21</t>
  </si>
  <si>
    <t>GMNR21</t>
  </si>
  <si>
    <t>GKNR22</t>
  </si>
  <si>
    <t>GLNR22</t>
  </si>
  <si>
    <t>GMNR22</t>
  </si>
  <si>
    <t>GKNR23</t>
  </si>
  <si>
    <t>GLNR23</t>
  </si>
  <si>
    <t>GMNR23</t>
  </si>
  <si>
    <t>GKNR25</t>
  </si>
  <si>
    <t>GLNR25</t>
  </si>
  <si>
    <t>GMNR25</t>
  </si>
  <si>
    <t>&gt;73 V (67% of VA,nom = 110 V)</t>
  </si>
  <si>
    <t>&gt; 146 V (67% of VA,nom = 220 V)</t>
  </si>
  <si>
    <t>-463</t>
  </si>
  <si>
    <t>-464</t>
  </si>
  <si>
    <t>For connection to wire, RS232</t>
  </si>
  <si>
    <t>-950</t>
  </si>
  <si>
    <t>-951</t>
  </si>
  <si>
    <t>-952</t>
  </si>
  <si>
    <t>-954</t>
  </si>
  <si>
    <t>-955</t>
  </si>
  <si>
    <t>-947</t>
  </si>
  <si>
    <t>With RTD module</t>
  </si>
  <si>
    <t>With RTD and analogue module</t>
  </si>
  <si>
    <t>With RTD and binary module (add. 24 binary inputs)</t>
  </si>
  <si>
    <t>For connection to 100Mhz Ethernet, glass fibre SC and wire RJ45 and 2nd interface (RS485, IEC 60870-5-103)</t>
  </si>
  <si>
    <t>4</t>
  </si>
  <si>
    <t>-804</t>
  </si>
  <si>
    <t>HNO 24</t>
  </si>
  <si>
    <t>HOO 24</t>
  </si>
  <si>
    <t>HPO 24</t>
  </si>
  <si>
    <t>For connection to 100Mhz Ethernet, glass fibre ST and wire RJ45 and 2nd interface (RS485, IEC 60870-5-103)</t>
  </si>
  <si>
    <t>Surface-mounted, with detachable HMI</t>
  </si>
  <si>
    <t>Flush-mounted, with detachable HMI</t>
  </si>
  <si>
    <t>71</t>
  </si>
  <si>
    <t>72</t>
  </si>
  <si>
    <t>73</t>
  </si>
  <si>
    <t>74</t>
  </si>
  <si>
    <t>91</t>
  </si>
  <si>
    <t>92</t>
  </si>
  <si>
    <t>93</t>
  </si>
  <si>
    <t>94</t>
  </si>
  <si>
    <t>-616</t>
  </si>
  <si>
    <t>Not Available with RTD Module fitted</t>
  </si>
  <si>
    <t>CT/VT Boards with NCIT : this option is not currently available.</t>
  </si>
  <si>
    <t>-729</t>
  </si>
  <si>
    <t>308-4xx-618-729</t>
  </si>
  <si>
    <t>HNSC23</t>
  </si>
  <si>
    <t>HOSC23</t>
  </si>
  <si>
    <t>HPSC23</t>
  </si>
  <si>
    <t>HNSC20</t>
  </si>
  <si>
    <t>HNSC21</t>
  </si>
  <si>
    <t>HOSC20</t>
  </si>
  <si>
    <t>HOSC21</t>
  </si>
  <si>
    <t>HPSC20</t>
  </si>
  <si>
    <t>HPSC21</t>
  </si>
  <si>
    <t>RY</t>
  </si>
  <si>
    <t>RZ</t>
  </si>
  <si>
    <t>SA</t>
  </si>
  <si>
    <t>Y</t>
  </si>
  <si>
    <t>-725</t>
  </si>
  <si>
    <t>GKNY20</t>
  </si>
  <si>
    <t>GKNY21</t>
  </si>
  <si>
    <t>GKNY22</t>
  </si>
  <si>
    <t>GKNY23</t>
  </si>
  <si>
    <t>GKNY25</t>
  </si>
  <si>
    <t>GLNY20</t>
  </si>
  <si>
    <t>GLNY21</t>
  </si>
  <si>
    <t>GLNY22</t>
  </si>
  <si>
    <t>GLNY23</t>
  </si>
  <si>
    <t>GLNY25</t>
  </si>
  <si>
    <t>GMNY20</t>
  </si>
  <si>
    <t>GMNY21</t>
  </si>
  <si>
    <t>GMNY22</t>
  </si>
  <si>
    <t>GMNY23</t>
  </si>
  <si>
    <t>GMNY25</t>
  </si>
  <si>
    <t>RE</t>
  </si>
  <si>
    <t>RF</t>
  </si>
  <si>
    <t>RG</t>
  </si>
  <si>
    <t>-632</t>
  </si>
  <si>
    <t>INQ 20</t>
  </si>
  <si>
    <t>INQ 21</t>
  </si>
  <si>
    <t>INQ 24</t>
  </si>
  <si>
    <t>INQ 26</t>
  </si>
  <si>
    <t>IOQ 20</t>
  </si>
  <si>
    <t>IOQ 21</t>
  </si>
  <si>
    <t>IOQ 24</t>
  </si>
  <si>
    <t>IOQ 26</t>
  </si>
  <si>
    <t>IPQ 20</t>
  </si>
  <si>
    <t>IPQ 21</t>
  </si>
  <si>
    <t>IPQ 24</t>
  </si>
  <si>
    <t>IPQ 26</t>
  </si>
  <si>
    <t>RK</t>
  </si>
  <si>
    <t>RL</t>
  </si>
  <si>
    <t>RM</t>
  </si>
  <si>
    <t>** Withdrawn : Use 632 SW</t>
  </si>
  <si>
    <t>P139</t>
  </si>
  <si>
    <t>SE</t>
  </si>
  <si>
    <t>SF</t>
  </si>
  <si>
    <t>SG</t>
  </si>
  <si>
    <t>24 … 60Vdc</t>
  </si>
  <si>
    <t>60 ... 250Vdc/100 ... 230Vac</t>
  </si>
  <si>
    <t>POWER SUPPLY LOOKUP</t>
  </si>
  <si>
    <t>REB Interfaces</t>
  </si>
  <si>
    <t>For connection to 100 Mbit/s Ethernet, glass fiber ST, SHP</t>
  </si>
  <si>
    <t>For connection to Mbit/s MHz Ethernet, glass fiber ST, RSTP</t>
  </si>
  <si>
    <t>For connection to 100 Mbit/s Ethernet, glass fiber ST, dual homing</t>
  </si>
  <si>
    <t>-981</t>
  </si>
  <si>
    <t>-982</t>
  </si>
  <si>
    <t>-983</t>
  </si>
  <si>
    <t>-9**</t>
  </si>
  <si>
    <t>-311</t>
  </si>
  <si>
    <t>VA,nom = 24 ... 60 VDC</t>
  </si>
  <si>
    <t>VA,nom = 60 ... 250 VDC / 100 ... 230 VAC</t>
  </si>
  <si>
    <t>Surface-mounted, local control panel with graphic display, conformally coated</t>
  </si>
  <si>
    <t>Flush-mounted, local control panel with graphic display, conformally coated</t>
  </si>
  <si>
    <t>None (Not viable if transient ground fault option required!)</t>
  </si>
  <si>
    <t>Without (Not viable if transient ground fault option required!)</t>
  </si>
  <si>
    <t>Transient ground fault module (Only if current &amp; voltage transformers ordered!)</t>
  </si>
  <si>
    <t>Transient ground fault &amp; analogue modules (Only if CTs &amp; VTs ordered!)</t>
  </si>
  <si>
    <t>Transient ground fault module (Only if CTs &amp; VTs ordered!)</t>
  </si>
  <si>
    <t>24 binary inputs and transient ground fault module (Only if CTs &amp; VTs ordered!)</t>
  </si>
  <si>
    <t>-703</t>
  </si>
  <si>
    <t>DEEC20</t>
  </si>
  <si>
    <t>DGEC20</t>
  </si>
  <si>
    <t>DFEC20</t>
  </si>
  <si>
    <t>DEEC21</t>
  </si>
  <si>
    <t>DGEC21</t>
  </si>
  <si>
    <t>DFEC21</t>
  </si>
  <si>
    <t>MZ</t>
  </si>
  <si>
    <t>NA</t>
  </si>
  <si>
    <t>NB</t>
  </si>
  <si>
    <t>-408</t>
  </si>
  <si>
    <t>-409</t>
  </si>
  <si>
    <t>-410</t>
  </si>
  <si>
    <t>-610</t>
  </si>
  <si>
    <t>Protocol IEC61850</t>
  </si>
  <si>
    <t>NC</t>
  </si>
  <si>
    <t>ND</t>
  </si>
  <si>
    <t>NE</t>
  </si>
  <si>
    <t>For connection to 10Mhz Ethernet, glass fibre ST and wire RJ45 and 2nd interface (RS845, IEC60870-5-103)</t>
  </si>
  <si>
    <t>For connection to 100Mhz Ethernet, glass fibre SC and wire RJ45 and 2nd interface (RS845, IEC60870-5-103)</t>
  </si>
  <si>
    <t>-945</t>
  </si>
  <si>
    <t>-946</t>
  </si>
  <si>
    <t>HNP 20</t>
  </si>
  <si>
    <t>HNP 21</t>
  </si>
  <si>
    <t>HOP 20</t>
  </si>
  <si>
    <t>HOP 21</t>
  </si>
  <si>
    <t>HPP 20</t>
  </si>
  <si>
    <t>HPP 21</t>
  </si>
  <si>
    <t>QI</t>
  </si>
  <si>
    <t>QJ</t>
  </si>
  <si>
    <t>QK</t>
  </si>
  <si>
    <t>-704</t>
  </si>
  <si>
    <t>NF</t>
  </si>
  <si>
    <t>NG</t>
  </si>
  <si>
    <t>NH</t>
  </si>
  <si>
    <t>NJ</t>
  </si>
  <si>
    <t>NK</t>
  </si>
  <si>
    <t>NM</t>
  </si>
  <si>
    <t>NN</t>
  </si>
  <si>
    <t>NP</t>
  </si>
  <si>
    <t>FHKG21</t>
  </si>
  <si>
    <t>FIKG21</t>
  </si>
  <si>
    <t>FJKG21</t>
  </si>
  <si>
    <t>FHKG22</t>
  </si>
  <si>
    <t>FIKG22</t>
  </si>
  <si>
    <t>FJKG22</t>
  </si>
  <si>
    <t>FHKG23</t>
  </si>
  <si>
    <t>FIKG23</t>
  </si>
  <si>
    <t>-720</t>
  </si>
  <si>
    <t>GKNT20</t>
  </si>
  <si>
    <t>GKNT21</t>
  </si>
  <si>
    <t>GKNT22</t>
  </si>
  <si>
    <t>GKNT23</t>
  </si>
  <si>
    <t>GKNT25</t>
  </si>
  <si>
    <t>GLNT20</t>
  </si>
  <si>
    <t>GLNT21</t>
  </si>
  <si>
    <t>GLNT22</t>
  </si>
  <si>
    <t>GLNT23</t>
  </si>
  <si>
    <t>GLNT25</t>
  </si>
  <si>
    <t>GMNT20</t>
  </si>
  <si>
    <t>GMNT21</t>
  </si>
  <si>
    <t>GMNT22</t>
  </si>
  <si>
    <t>GMNT23</t>
  </si>
  <si>
    <t>GMNT25</t>
  </si>
  <si>
    <t>QC</t>
  </si>
  <si>
    <t>QD</t>
  </si>
  <si>
    <t>QE</t>
  </si>
  <si>
    <t>FJKG23</t>
  </si>
  <si>
    <t>-707</t>
  </si>
  <si>
    <t>FHKG20</t>
  </si>
  <si>
    <t>FIKG20</t>
  </si>
  <si>
    <t>FJKG20</t>
  </si>
  <si>
    <t>NL</t>
  </si>
  <si>
    <t>DFE 25</t>
  </si>
  <si>
    <t>DGE 25</t>
  </si>
  <si>
    <t>DEE 25</t>
  </si>
  <si>
    <t>DFEC25</t>
  </si>
  <si>
    <t>DGEC25</t>
  </si>
  <si>
    <t>DEEC25</t>
  </si>
  <si>
    <t>&gt;18V (Standard)</t>
  </si>
  <si>
    <t>&gt;90V (60 to 70% of Vnom = 125 to 150V)</t>
  </si>
  <si>
    <t>&gt;155V (60 to 70% of Vnom = 220 to 250V)</t>
  </si>
  <si>
    <t>-306</t>
  </si>
  <si>
    <t>FHJD20</t>
  </si>
  <si>
    <t>FIJD20</t>
  </si>
  <si>
    <t>FJJD20</t>
  </si>
  <si>
    <t>FHJD21</t>
  </si>
  <si>
    <t>FIJD21</t>
  </si>
  <si>
    <t>FJJD21</t>
  </si>
  <si>
    <t>-611</t>
  </si>
  <si>
    <t>English (German)</t>
  </si>
  <si>
    <t>German (English)</t>
  </si>
  <si>
    <t>French (English)</t>
  </si>
  <si>
    <t xml:space="preserve"> </t>
  </si>
  <si>
    <t>Additional options</t>
  </si>
  <si>
    <t>Power supply and additional option</t>
  </si>
  <si>
    <t>Interfaces</t>
  </si>
  <si>
    <t>Interfaces continued …</t>
  </si>
  <si>
    <t>Language</t>
  </si>
  <si>
    <t>Basic device 40TE, pin terminal connection</t>
  </si>
  <si>
    <t>6</t>
  </si>
  <si>
    <t>Connection Key</t>
  </si>
  <si>
    <t>COMBINED KEY</t>
  </si>
  <si>
    <t>Case design Key</t>
  </si>
  <si>
    <t>5</t>
  </si>
  <si>
    <t>None</t>
  </si>
  <si>
    <t>Spanish (English)</t>
  </si>
  <si>
    <t>Basic device 40TE, CT/VT ring-, I/O pin-terminal connection</t>
  </si>
  <si>
    <t>-801</t>
  </si>
  <si>
    <t>-802</t>
  </si>
  <si>
    <t>-803</t>
  </si>
  <si>
    <t>A</t>
  </si>
  <si>
    <t xml:space="preserve">1 - 4  </t>
  </si>
  <si>
    <t>B</t>
  </si>
  <si>
    <t>C</t>
  </si>
  <si>
    <t>24Vdc</t>
  </si>
  <si>
    <t>D</t>
  </si>
  <si>
    <t>Case Size / Ring or Pin</t>
  </si>
  <si>
    <t>Software Issue - Major (Date dependent)</t>
  </si>
  <si>
    <t>INP 20</t>
  </si>
  <si>
    <t>INP 21</t>
  </si>
  <si>
    <t>INP 26</t>
  </si>
  <si>
    <t>IOP 20</t>
  </si>
  <si>
    <t>IOP 21</t>
  </si>
  <si>
    <t>IOP 26</t>
  </si>
  <si>
    <t>IPP 20</t>
  </si>
  <si>
    <t>IPP 21</t>
  </si>
  <si>
    <t>-617</t>
  </si>
  <si>
    <t>HNR 20</t>
  </si>
  <si>
    <t>HNR 21</t>
  </si>
  <si>
    <t>HOR 20</t>
  </si>
  <si>
    <t>HOR 21</t>
  </si>
  <si>
    <t>HPR 20</t>
  </si>
  <si>
    <t>HPR 21</t>
  </si>
  <si>
    <t>RB</t>
  </si>
  <si>
    <t>RC</t>
  </si>
  <si>
    <t>RD</t>
  </si>
  <si>
    <t>P 1 3 9 -</t>
  </si>
  <si>
    <t>Überstromzeitschutz mit Steuerung</t>
  </si>
  <si>
    <t>-309</t>
  </si>
  <si>
    <t>Grundgerät:</t>
  </si>
  <si>
    <t>Grundgerät 40TE, Stiftkabelschuhanschluss,</t>
  </si>
  <si>
    <t>Grundgerät 40TE, J/U-Ring-, E/A-Stiftkabelschuhanschluss,</t>
  </si>
  <si>
    <t xml:space="preserve">   Grundbestückung mit 4 binären Eingängen, 8 Ausgangsrelais</t>
  </si>
  <si>
    <t xml:space="preserve">   und 6 bin. Eingänge und 6 Ausg.Relais (2-polig) für die</t>
  </si>
  <si>
    <t xml:space="preserve">   Steuerung von 3 Schaltgeräten</t>
  </si>
  <si>
    <t>Bauform und Bedienfeld:</t>
  </si>
  <si>
    <t>Aufbau, Vor-Ort-Bedienfeld mit Grafikdisplay</t>
  </si>
  <si>
    <t>Einbau, Vor-Ort-Bedienfeld mit Grafikdisplay</t>
  </si>
  <si>
    <t>Aufbau, mit abgesetztem Vor-Ort-Bedienfeld</t>
  </si>
  <si>
    <t>Einbau, mit abgesetztem Vor-Ort-Bedienfeld</t>
  </si>
  <si>
    <t>Stromwandler:</t>
  </si>
  <si>
    <t>Spannungswandler:</t>
  </si>
  <si>
    <t>ohne</t>
  </si>
  <si>
    <t>Vnom = 50 ... 130 V (4-pole)</t>
  </si>
  <si>
    <t>Unom = 50 ... 130 V (4-polig)</t>
  </si>
  <si>
    <t>Unom = 50 ... 130 V (5-polig) für Synchronkontrollautomatik</t>
  </si>
  <si>
    <t>zusätzliche E/A Aufrüstung:</t>
  </si>
  <si>
    <t>mit 1 Binärbaustein (zus. 6 bin. Eingänge und 6 Ausgangsrelais (2-polig))</t>
  </si>
  <si>
    <t xml:space="preserve">     für die Steuerung von bis zu 3 zusätzlichen Schaltgeräten</t>
  </si>
  <si>
    <t>Hilfsspannungsversorgung und zus. E/A Aufrüstungen:</t>
  </si>
  <si>
    <t>UH,nom =  24 VDC</t>
  </si>
  <si>
    <t>UH,nom =  48...250 VDC / 100...230 VAC</t>
  </si>
  <si>
    <t>UH,nom =  24 VDC und 6 Ausgangsrelais</t>
  </si>
  <si>
    <t>UH,nom =  48...250 VDC / 100...230 VAC und 6 Ausgangsrelais</t>
  </si>
  <si>
    <t>UH,nom =  24 VDC und 6 Binäreingänge und 3 Ausgangsrelais</t>
  </si>
  <si>
    <t xml:space="preserve">     und 6 Binäreingänge und 3 Ausgangsrelais</t>
  </si>
  <si>
    <t>UH,nom =  24 VDC und 4 Leistungskontakte</t>
  </si>
  <si>
    <t>UH,nom =  48...250 VDC / 100...230 VAC und 4 Leistungskontakte</t>
  </si>
  <si>
    <t>weitere Zusätze:</t>
  </si>
  <si>
    <t>mit Analogbaustein</t>
  </si>
  <si>
    <t>mit Binärbaustein (zus. 24 binäre Eingänge)</t>
  </si>
  <si>
    <t>ohne Leistungskontakt - Ausführung</t>
  </si>
  <si>
    <t>mit 1 Baustein mit Leistungskontakten (1-polig)</t>
  </si>
  <si>
    <t>mit 2 Bausteinen mit Leistungskontakten (1-polig)</t>
  </si>
  <si>
    <t>Schaltschwelle der Binäreingänge:</t>
  </si>
  <si>
    <t>&gt;18 V (Standardvariante)</t>
  </si>
  <si>
    <t>mit Kommunikations-/ Informations-Schnittstelle:</t>
  </si>
  <si>
    <t>Protokoll umschaltbar:</t>
  </si>
  <si>
    <t xml:space="preserve">    IEC 60870-5-101/-103, Modbus, DNP3, Courier</t>
  </si>
  <si>
    <t xml:space="preserve">    and IRIG-B input for clock synchronization</t>
  </si>
  <si>
    <t xml:space="preserve">    und IRIG-B-Eingang für Uhrzeitsynchronisierung</t>
  </si>
  <si>
    <t xml:space="preserve">    and 2nd interface (RS485, IEC 60870-5-103)</t>
  </si>
  <si>
    <t>INP 24</t>
  </si>
  <si>
    <t>IOP 24</t>
  </si>
  <si>
    <t>IPP 24</t>
  </si>
  <si>
    <t>IPP 26</t>
  </si>
  <si>
    <t xml:space="preserve">    und 2. Schnittstelle (RS485, IEC 60870-5-103)</t>
  </si>
  <si>
    <t>für Drahtanschluss, RS485, abgeriegelt</t>
  </si>
  <si>
    <t>für Anschluss von Kunststoffaser, FSMA-Stecker</t>
  </si>
  <si>
    <t>für Anschluss von Glasfaser, ST-Stecker</t>
  </si>
  <si>
    <t>Protokoll IEC61850</t>
  </si>
  <si>
    <t>für Anschluss von 100 MHz Ethernet, Glasfaser-SC und Draht-RJ45</t>
  </si>
  <si>
    <t>für Anschluss von 100 MHz Ethernet, Glasfaser-ST und Draht-RJ45</t>
  </si>
  <si>
    <t>mit Wirk-Schnittstelle:</t>
  </si>
  <si>
    <t>Protokoll InterMiCOM</t>
  </si>
  <si>
    <t>für Drahtanschluss, RS232, abgeriegelt</t>
  </si>
  <si>
    <t>Sprache:</t>
  </si>
  <si>
    <t>2) Umschaltung durch Parameter, Grundeinstellung ist unterstrichen!</t>
  </si>
  <si>
    <t>307-4xx-614</t>
  </si>
  <si>
    <t>3) Nicht möglich bei gleichzeitiger Bestellung der Wirkschnittstelle (BA-Nr. -95x)</t>
  </si>
  <si>
    <t>4) Zweite enthaltene Sprache in Klammern</t>
  </si>
  <si>
    <t>7) Hardware Option, kyrillischer Zeichensatz anstelle Westeurop. Sonderzeichen unterstützt</t>
  </si>
  <si>
    <t>8) Standardvariante empfohlen, falls höhere Schaltschwelle nicht ausdrücklich von der Applikation gefordert</t>
  </si>
  <si>
    <t>308-4xx-618</t>
  </si>
  <si>
    <t>309-4xx-633</t>
  </si>
  <si>
    <t>10) Option Erdschlusswischerbaustein nur möglich bei gleichzeitiger Bestellung von Strom- und Spannungswandler!</t>
  </si>
  <si>
    <t>20) Mit Chinesischem Display nur 40T-Gehäusevarianten lieferbar</t>
  </si>
  <si>
    <t>Z</t>
  </si>
  <si>
    <t>-726</t>
  </si>
  <si>
    <t>INPZ20</t>
  </si>
  <si>
    <t>INPZ21</t>
  </si>
  <si>
    <t>INPZ24</t>
  </si>
  <si>
    <t>INPZ26</t>
  </si>
  <si>
    <t>IOPZ20</t>
  </si>
  <si>
    <t>IOPZ21</t>
  </si>
  <si>
    <t>IOPZ24</t>
  </si>
  <si>
    <t>IOPZ26</t>
  </si>
  <si>
    <t>IPPZ20</t>
  </si>
  <si>
    <t>IPPZ21</t>
  </si>
  <si>
    <t>IPPZ24</t>
  </si>
  <si>
    <t>IPPZ26</t>
  </si>
  <si>
    <t>Surface-mounted, with detachable HMI, conformally coated</t>
  </si>
  <si>
    <t>Flush-mounted, with detachable HMI, conformally coated</t>
  </si>
  <si>
    <t>Software Issue - Minor (Date dependent)</t>
  </si>
  <si>
    <t>Hardware Issue (Date dependent)</t>
  </si>
  <si>
    <t>Software Issue - Major</t>
  </si>
  <si>
    <t>Software Issue - Minor</t>
  </si>
  <si>
    <t>24Vdc (+6 output relays)</t>
  </si>
  <si>
    <t>Key Date</t>
  </si>
  <si>
    <t>For connection to wire, RS485, isolated</t>
  </si>
  <si>
    <t>For connection to plastic fibre, FSMA connector</t>
  </si>
  <si>
    <t>For connection to glass fibre, ST connector</t>
  </si>
  <si>
    <t>Not yet available - French (English)</t>
  </si>
  <si>
    <t>Not yet available - Spanish (English)</t>
  </si>
  <si>
    <t>*</t>
  </si>
  <si>
    <t>48 to 250Vdc/100 to 230Vac</t>
  </si>
  <si>
    <t>48 to 250Vdc/100 to 230Vac (+6 output relays)</t>
  </si>
  <si>
    <t>Basic device 84TE, ring terminal connection</t>
  </si>
  <si>
    <t>24Vdc (+6 output relays, 4 with thyristor)</t>
  </si>
  <si>
    <t>48 to 250Vdc/100 to 230Vac (+6 output relays, 4 with thyristor)</t>
  </si>
  <si>
    <t>-302</t>
  </si>
  <si>
    <t>Vnom = 50V to 130V (4-pole)</t>
  </si>
  <si>
    <t>Vnom = 50V to 130V (5-pole) for Automatic Synchronism Check</t>
  </si>
  <si>
    <t>6 binary inputs and 6 output relays for the control of 3 switchgear units</t>
  </si>
  <si>
    <t>24 binary inputs</t>
  </si>
  <si>
    <t>Analogue module</t>
  </si>
  <si>
    <t>PCS  VARIANT                   P139</t>
  </si>
  <si>
    <t>E0337875</t>
  </si>
  <si>
    <t>E9650135</t>
  </si>
  <si>
    <t>E9651472</t>
  </si>
  <si>
    <t>E9651428</t>
  </si>
  <si>
    <t>-308</t>
  </si>
  <si>
    <t>-304</t>
  </si>
  <si>
    <t>-303</t>
  </si>
  <si>
    <t>-602</t>
  </si>
  <si>
    <t>13</t>
  </si>
  <si>
    <t>21</t>
  </si>
  <si>
    <t>2</t>
  </si>
  <si>
    <t>Basic device 40TE, transformer modules: ring, others: pin terminal connection</t>
  </si>
  <si>
    <t>E</t>
  </si>
  <si>
    <t>-701</t>
  </si>
  <si>
    <t xml:space="preserve"> and 6 binary inputs and 6 output relays</t>
  </si>
  <si>
    <t>-735</t>
  </si>
  <si>
    <t>312-4xx-634-735</t>
  </si>
  <si>
    <t>LTHH20</t>
  </si>
  <si>
    <t>LTHH21</t>
  </si>
  <si>
    <t>LTHH22</t>
  </si>
  <si>
    <t>LTHH23</t>
  </si>
  <si>
    <t>LTHH24</t>
  </si>
  <si>
    <t>LTHH25</t>
  </si>
  <si>
    <t>LUHH20</t>
  </si>
  <si>
    <t>LUHH21</t>
  </si>
  <si>
    <t>LUHH22</t>
  </si>
  <si>
    <t>LUHH23</t>
  </si>
  <si>
    <t>LUHH24</t>
  </si>
  <si>
    <t>LUHH25</t>
  </si>
  <si>
    <t>LVHH20</t>
  </si>
  <si>
    <t>LVHH21</t>
  </si>
  <si>
    <t>LVHH22</t>
  </si>
  <si>
    <t>LVHH23</t>
  </si>
  <si>
    <t>LVHH24</t>
  </si>
  <si>
    <t>LVHH25</t>
  </si>
  <si>
    <t>SV</t>
  </si>
  <si>
    <t>SW</t>
  </si>
  <si>
    <t>SX</t>
  </si>
  <si>
    <t>-736</t>
  </si>
  <si>
    <t>312-4xx-634-736</t>
  </si>
  <si>
    <t>LTHI20</t>
  </si>
  <si>
    <t>LTHI21</t>
  </si>
  <si>
    <t>LTHI22</t>
  </si>
  <si>
    <t>LTHI23</t>
  </si>
  <si>
    <t>LTHI24</t>
  </si>
  <si>
    <t>LTHI25</t>
  </si>
  <si>
    <t>LUHI20</t>
  </si>
  <si>
    <t>LUHI21</t>
  </si>
  <si>
    <t>LUHI22</t>
  </si>
  <si>
    <t>LUHI23</t>
  </si>
  <si>
    <t>LUHI24</t>
  </si>
  <si>
    <t>LUHI25</t>
  </si>
  <si>
    <t>LVHI20</t>
  </si>
  <si>
    <t>LVHI21</t>
  </si>
  <si>
    <t>LVHI22</t>
  </si>
  <si>
    <t>LVHI23</t>
  </si>
  <si>
    <t>LVHI24</t>
  </si>
  <si>
    <t>LVHI25</t>
  </si>
  <si>
    <t>SY</t>
  </si>
  <si>
    <t>SZ</t>
  </si>
  <si>
    <t>TA</t>
  </si>
  <si>
    <t>P1393500030PZ03000</t>
  </si>
  <si>
    <t>-737</t>
  </si>
  <si>
    <t>312-4xx-634-737</t>
  </si>
  <si>
    <t>LTHJ20</t>
  </si>
  <si>
    <t>LTHJ21</t>
  </si>
  <si>
    <t>LTHJ22</t>
  </si>
  <si>
    <t>LTHJ23</t>
  </si>
  <si>
    <t>LTHJ24</t>
  </si>
  <si>
    <t>LTHJ25</t>
  </si>
  <si>
    <t>LUHJ20</t>
  </si>
  <si>
    <t>LUHJ21</t>
  </si>
  <si>
    <t>LUHJ22</t>
  </si>
  <si>
    <t>LUHJ23</t>
  </si>
  <si>
    <t>LUHJ24</t>
  </si>
  <si>
    <t>LUHJ25</t>
  </si>
  <si>
    <t>LVHJ20</t>
  </si>
  <si>
    <t>LVHJ21</t>
  </si>
  <si>
    <t>LVHJ22</t>
  </si>
  <si>
    <t>LVHJ23</t>
  </si>
  <si>
    <t>LVHJ24</t>
  </si>
  <si>
    <t>LVHJ25</t>
  </si>
  <si>
    <t>TB</t>
  </si>
  <si>
    <t>TC</t>
  </si>
  <si>
    <t>TD</t>
  </si>
  <si>
    <t>Last Issue Used = TD</t>
  </si>
  <si>
    <t xml:space="preserve">21) IEC61850 избыточная связь с опциями питания от E до M </t>
  </si>
  <si>
    <t>20) Доступны только 40T варианты  с китайским HMI</t>
  </si>
  <si>
    <t>19) В зависимости от выбранного количества дискретных модулей (6 дискретных входов и 6 выходных реле);  Использование только сильноточных контактов (1-pole)</t>
  </si>
  <si>
    <t>10) Переходный вариант замыкания на землю только для вариантов с цепями тока и напряжения</t>
  </si>
  <si>
    <t>8) Стандартные диапазоны срабатывания для входов</t>
  </si>
  <si>
    <t>7) Поддержка кириллицы</t>
  </si>
  <si>
    <t>4) Второй язык интерфейса указан в скобках</t>
  </si>
  <si>
    <t xml:space="preserve">3) Эта опция исключается, если заказан InterMiCOM (-95x) </t>
  </si>
  <si>
    <t>2) Переключаемые в меню терминала параметры, параметры по умолчанию подчеркнуты.</t>
  </si>
  <si>
    <t>ПРИМЕЧАНИЯ:</t>
  </si>
  <si>
    <r>
      <t>Chinesisch (Englisch)</t>
    </r>
    <r>
      <rPr>
        <vertAlign val="superscript"/>
        <sz val="10"/>
        <color indexed="10"/>
        <rFont val="Arial"/>
        <family val="2"/>
      </rPr>
      <t xml:space="preserve"> 4) 20)</t>
    </r>
  </si>
  <si>
    <r>
      <t xml:space="preserve">Китайский (Английский) </t>
    </r>
    <r>
      <rPr>
        <vertAlign val="superscript"/>
        <sz val="10"/>
        <rFont val="Arial"/>
        <family val="2"/>
      </rPr>
      <t>4) 20)</t>
    </r>
  </si>
  <si>
    <r>
      <t>Russisch (Englisch)</t>
    </r>
    <r>
      <rPr>
        <vertAlign val="superscript"/>
        <sz val="10"/>
        <rFont val="Arial"/>
        <family val="2"/>
      </rPr>
      <t xml:space="preserve"> 4) </t>
    </r>
    <r>
      <rPr>
        <b/>
        <vertAlign val="superscript"/>
        <sz val="10"/>
        <rFont val="Arial"/>
        <family val="2"/>
      </rPr>
      <t xml:space="preserve"> 7)</t>
    </r>
  </si>
  <si>
    <r>
      <t>Русский (Английский)</t>
    </r>
    <r>
      <rPr>
        <vertAlign val="superscript"/>
        <sz val="10"/>
        <rFont val="Arial"/>
        <family val="2"/>
      </rPr>
      <t xml:space="preserve"> 4) </t>
    </r>
    <r>
      <rPr>
        <b/>
        <vertAlign val="superscript"/>
        <sz val="10"/>
        <rFont val="Arial"/>
        <family val="2"/>
      </rPr>
      <t xml:space="preserve"> 7)</t>
    </r>
  </si>
  <si>
    <r>
      <t>Polnisch (Englisch)</t>
    </r>
    <r>
      <rPr>
        <vertAlign val="superscript"/>
        <sz val="10"/>
        <rFont val="Arial"/>
        <family val="2"/>
      </rPr>
      <t xml:space="preserve"> 4)</t>
    </r>
  </si>
  <si>
    <r>
      <t>Польский (Английский)</t>
    </r>
    <r>
      <rPr>
        <vertAlign val="superscript"/>
        <sz val="10"/>
        <rFont val="Arial"/>
        <family val="2"/>
      </rPr>
      <t xml:space="preserve"> 4)</t>
    </r>
  </si>
  <si>
    <r>
      <t>Spanisch (Englisch)</t>
    </r>
    <r>
      <rPr>
        <vertAlign val="superscript"/>
        <sz val="10"/>
        <rFont val="Arial"/>
        <family val="2"/>
      </rPr>
      <t xml:space="preserve"> 4)</t>
    </r>
  </si>
  <si>
    <r>
      <t>Испанский (Английский)</t>
    </r>
    <r>
      <rPr>
        <vertAlign val="superscript"/>
        <sz val="10"/>
        <rFont val="Arial"/>
        <family val="2"/>
      </rPr>
      <t xml:space="preserve"> 4)</t>
    </r>
  </si>
  <si>
    <r>
      <t>Französisch (Englisch)</t>
    </r>
    <r>
      <rPr>
        <vertAlign val="superscript"/>
        <sz val="10"/>
        <rFont val="Arial"/>
        <family val="2"/>
      </rPr>
      <t xml:space="preserve"> 4)</t>
    </r>
  </si>
  <si>
    <r>
      <t>Французский (Английский)</t>
    </r>
    <r>
      <rPr>
        <vertAlign val="superscript"/>
        <sz val="10"/>
        <rFont val="Arial"/>
        <family val="2"/>
      </rPr>
      <t xml:space="preserve"> 4)</t>
    </r>
  </si>
  <si>
    <r>
      <t>Deutsch (Englisch)</t>
    </r>
    <r>
      <rPr>
        <vertAlign val="superscript"/>
        <sz val="10"/>
        <rFont val="Arial"/>
        <family val="2"/>
      </rPr>
      <t xml:space="preserve"> 4)</t>
    </r>
  </si>
  <si>
    <r>
      <t>Немецкий (Английский)</t>
    </r>
    <r>
      <rPr>
        <vertAlign val="superscript"/>
        <sz val="10"/>
        <rFont val="Arial"/>
        <family val="2"/>
      </rPr>
      <t xml:space="preserve"> 4)</t>
    </r>
  </si>
  <si>
    <t>Не доступен - по запросу</t>
  </si>
  <si>
    <r>
      <t>Px40 Englisch (Englisch)</t>
    </r>
    <r>
      <rPr>
        <vertAlign val="superscript"/>
        <sz val="10"/>
        <rFont val="Arial"/>
        <family val="2"/>
      </rPr>
      <t xml:space="preserve"> 4)</t>
    </r>
  </si>
  <si>
    <r>
      <t>Px40 Английский (Английский)</t>
    </r>
    <r>
      <rPr>
        <vertAlign val="superscript"/>
        <sz val="10"/>
        <rFont val="Arial"/>
        <family val="2"/>
      </rPr>
      <t xml:space="preserve"> 4)</t>
    </r>
  </si>
  <si>
    <t>По умолчанию</t>
  </si>
  <si>
    <r>
      <t>Englisch (Deutsch)</t>
    </r>
    <r>
      <rPr>
        <vertAlign val="superscript"/>
        <sz val="10"/>
        <rFont val="Arial"/>
        <family val="2"/>
      </rPr>
      <t xml:space="preserve"> 4)</t>
    </r>
  </si>
  <si>
    <r>
      <t>Английский (Немецкий)</t>
    </r>
    <r>
      <rPr>
        <vertAlign val="superscript"/>
        <sz val="10"/>
        <rFont val="Arial"/>
        <family val="2"/>
      </rPr>
      <t xml:space="preserve"> 4)</t>
    </r>
  </si>
  <si>
    <t>Язык:</t>
  </si>
  <si>
    <t>Для связи используется стекло-оптоволокно (ST connector)</t>
  </si>
  <si>
    <t>Для связи используется RS485 по витой паре</t>
  </si>
  <si>
    <t>Протокол InterMiCOM</t>
  </si>
  <si>
    <t>Без продления заказа</t>
  </si>
  <si>
    <t>Нет</t>
  </si>
  <si>
    <t xml:space="preserve">С защитным интерфейсом </t>
  </si>
  <si>
    <t xml:space="preserve">   и 2му заднему входу (RS485, IEC 60870-5-103)</t>
  </si>
  <si>
    <t xml:space="preserve">    и плата IRIG-B для синхронизации по времени</t>
  </si>
  <si>
    <t>Для подключения к 100 Mbit/s Ethernet, оптоволокно (стекло) ST, двойное подключение</t>
  </si>
  <si>
    <t xml:space="preserve">   и IRIG-B вход для синхронизации по времени</t>
  </si>
  <si>
    <t>Для подключения к Mbit/s MHz Ethernet, оптоволокном (стекло) ST, RSTP</t>
  </si>
  <si>
    <t xml:space="preserve">   и плата IRIG-B для синхронизации по времени</t>
  </si>
  <si>
    <t>Для подключения к 100 Mbit/s Ethernet, оптоволокном (стекло) ST, SHP</t>
  </si>
  <si>
    <r>
      <t xml:space="preserve">Протокол IEC61850, избыточное соединение </t>
    </r>
    <r>
      <rPr>
        <vertAlign val="superscript"/>
        <sz val="10"/>
        <rFont val="Arial"/>
        <family val="2"/>
      </rPr>
      <t>21)</t>
    </r>
  </si>
  <si>
    <t>и  2ой задний порт связи (RS485, IEC 60870-5-103)</t>
  </si>
  <si>
    <r>
      <t xml:space="preserve">Protocol IEC61850, redundant connection </t>
    </r>
    <r>
      <rPr>
        <vertAlign val="superscript"/>
        <sz val="10"/>
        <rFont val="Arial"/>
        <family val="2"/>
      </rPr>
      <t>21)</t>
    </r>
  </si>
  <si>
    <t>100 Mbit/s Ethernet,оптоволокно(стекло)ST и RJ45</t>
  </si>
  <si>
    <t xml:space="preserve"> 100 Mbit/s Ethernet, оптоволокно(стекло)SC и RJ45</t>
  </si>
  <si>
    <t>Потокол IEC61850, одноканальное соединение</t>
  </si>
  <si>
    <t>Оптоволокно(стекло), ST connector</t>
  </si>
  <si>
    <t>Оптоволокно (пластик), FSMA-connector</t>
  </si>
  <si>
    <t xml:space="preserve"> порт RS485 (изолированный)</t>
  </si>
  <si>
    <t xml:space="preserve"> и 2ой задний порт связи связи (RS485, IEC 60870-5-103)</t>
  </si>
  <si>
    <t>и плата IRIG-B для синхронизации по времени</t>
  </si>
  <si>
    <t>Протокол для переключения между:</t>
  </si>
  <si>
    <t>С коммуникационным/информационным интерфейсом:</t>
  </si>
  <si>
    <r>
      <t xml:space="preserve">&gt;146 V (67% von UH,nom = 220 V)  </t>
    </r>
    <r>
      <rPr>
        <vertAlign val="superscript"/>
        <sz val="10"/>
        <rFont val="Arial"/>
        <family val="2"/>
      </rPr>
      <t>8)</t>
    </r>
  </si>
  <si>
    <r>
      <t xml:space="preserve">&gt;146 V (67% of VA,nom = 220 V) </t>
    </r>
    <r>
      <rPr>
        <vertAlign val="superscript"/>
        <sz val="10"/>
        <rFont val="Arial"/>
        <family val="2"/>
      </rPr>
      <t xml:space="preserve"> 8)</t>
    </r>
  </si>
  <si>
    <r>
      <t xml:space="preserve">&gt;73 V (67% von UH,nom = 110 V)  </t>
    </r>
    <r>
      <rPr>
        <vertAlign val="superscript"/>
        <sz val="10"/>
        <rFont val="Arial"/>
        <family val="2"/>
      </rPr>
      <t>8)</t>
    </r>
  </si>
  <si>
    <r>
      <t xml:space="preserve">&gt;73 V (67% of VA,nom = 110 V) </t>
    </r>
    <r>
      <rPr>
        <vertAlign val="superscript"/>
        <sz val="10"/>
        <rFont val="Arial"/>
        <family val="2"/>
      </rPr>
      <t xml:space="preserve"> 8)</t>
    </r>
  </si>
  <si>
    <r>
      <t xml:space="preserve">&gt;155 V (60...70% von UH,nom = 220...250 V)  </t>
    </r>
    <r>
      <rPr>
        <vertAlign val="superscript"/>
        <sz val="10"/>
        <rFont val="Arial"/>
        <family val="2"/>
      </rPr>
      <t>8)</t>
    </r>
  </si>
  <si>
    <r>
      <t xml:space="preserve">&gt;155 V (60...70% of VA,nom = 220...250 V) </t>
    </r>
    <r>
      <rPr>
        <vertAlign val="superscript"/>
        <sz val="10"/>
        <rFont val="Arial"/>
        <family val="2"/>
      </rPr>
      <t xml:space="preserve"> 8)</t>
    </r>
  </si>
  <si>
    <r>
      <t xml:space="preserve">&gt;90 V (60...70% von UH,nom = 125...150 V)  </t>
    </r>
    <r>
      <rPr>
        <vertAlign val="superscript"/>
        <sz val="10"/>
        <rFont val="Arial"/>
        <family val="2"/>
      </rPr>
      <t>8)</t>
    </r>
  </si>
  <si>
    <r>
      <t xml:space="preserve">&gt;90 V (60...70% of VA,nom = 125...150 V) </t>
    </r>
    <r>
      <rPr>
        <vertAlign val="superscript"/>
        <sz val="10"/>
        <rFont val="Arial"/>
        <family val="2"/>
      </rPr>
      <t xml:space="preserve"> 8)</t>
    </r>
  </si>
  <si>
    <t>&gt;18 V (базовая конфигурация)</t>
  </si>
  <si>
    <t>Напряжение срабатывания входов:</t>
  </si>
  <si>
    <t>С двумя модулями и сильноточными контактами (1-pole)</t>
  </si>
  <si>
    <t>С одним модулем и  сильноточными контактами (1-pole)</t>
  </si>
  <si>
    <t>Без сильноточных контактов</t>
  </si>
  <si>
    <r>
      <t xml:space="preserve">Binärbausteine mit einpoliger Kontaktausführung für die Steuerung </t>
    </r>
    <r>
      <rPr>
        <vertAlign val="superscript"/>
        <sz val="10"/>
        <rFont val="Arial"/>
        <family val="2"/>
      </rPr>
      <t>19)</t>
    </r>
    <r>
      <rPr>
        <b/>
        <sz val="10"/>
        <rFont val="Arial"/>
        <family val="2"/>
      </rPr>
      <t>:</t>
    </r>
  </si>
  <si>
    <r>
      <t xml:space="preserve">Модули с (1-pole) сильноточным контактом </t>
    </r>
    <r>
      <rPr>
        <vertAlign val="superscript"/>
        <sz val="10"/>
        <color indexed="17"/>
        <rFont val="SEOptimist"/>
        <family val="3"/>
      </rPr>
      <t>19)</t>
    </r>
    <r>
      <rPr>
        <b/>
        <sz val="10"/>
        <color indexed="17"/>
        <rFont val="SEOptimist"/>
        <family val="3"/>
      </rPr>
      <t xml:space="preserve">: </t>
    </r>
  </si>
  <si>
    <r>
      <t xml:space="preserve">mit RTD- und  Binärbaustein (zus. 24 binäre Eingänge) </t>
    </r>
    <r>
      <rPr>
        <vertAlign val="superscript"/>
        <sz val="10"/>
        <rFont val="Arial"/>
        <family val="2"/>
      </rPr>
      <t>3)</t>
    </r>
  </si>
  <si>
    <t>С двумя дискретными модулями  (доп. 24 дискретных входа)</t>
  </si>
  <si>
    <r>
      <t xml:space="preserve">mit RTD- und Analogbaustein </t>
    </r>
    <r>
      <rPr>
        <vertAlign val="superscript"/>
        <sz val="10"/>
        <rFont val="Arial"/>
        <family val="2"/>
      </rPr>
      <t>3)</t>
    </r>
  </si>
  <si>
    <t>С аналоговым модулем и дискретным модулем ( доп. 24 дискретных входа)</t>
  </si>
  <si>
    <r>
      <t xml:space="preserve">С RTD модулем и дискретным модулем </t>
    </r>
    <r>
      <rPr>
        <vertAlign val="superscript"/>
        <sz val="10"/>
        <rFont val="Arial"/>
        <family val="2"/>
      </rPr>
      <t>3)</t>
    </r>
  </si>
  <si>
    <r>
      <t xml:space="preserve">С RTD модулем и аналоговым модулем </t>
    </r>
    <r>
      <rPr>
        <vertAlign val="superscript"/>
        <sz val="10"/>
        <rFont val="Arial"/>
        <family val="2"/>
      </rPr>
      <t>3)</t>
    </r>
  </si>
  <si>
    <r>
      <t xml:space="preserve">mit RTD-Baustein </t>
    </r>
    <r>
      <rPr>
        <vertAlign val="superscript"/>
        <sz val="10"/>
        <rFont val="Arial"/>
        <family val="2"/>
      </rPr>
      <t>3)</t>
    </r>
  </si>
  <si>
    <r>
      <t>С RTD модулем</t>
    </r>
    <r>
      <rPr>
        <vertAlign val="superscript"/>
        <sz val="10"/>
        <rFont val="Arial"/>
        <family val="2"/>
      </rPr>
      <t xml:space="preserve"> 3)</t>
    </r>
  </si>
  <si>
    <r>
      <t xml:space="preserve">mit EWI- und Binärbaustein (zus. 24 binäre Eingänge) </t>
    </r>
    <r>
      <rPr>
        <vertAlign val="superscript"/>
        <sz val="10"/>
        <rFont val="Arial"/>
        <family val="2"/>
      </rPr>
      <t>3) 10)</t>
    </r>
  </si>
  <si>
    <r>
      <t xml:space="preserve">24 дискретных входа и  модуль для определения перемежающегося КЗ на землю </t>
    </r>
    <r>
      <rPr>
        <vertAlign val="superscript"/>
        <sz val="10"/>
        <rFont val="Arial"/>
        <family val="2"/>
      </rPr>
      <t>3) 10)</t>
    </r>
  </si>
  <si>
    <t xml:space="preserve">24 дискретных входа </t>
  </si>
  <si>
    <r>
      <t xml:space="preserve">mit EWI- und Analogbaustein </t>
    </r>
    <r>
      <rPr>
        <vertAlign val="superscript"/>
        <sz val="10"/>
        <rFont val="Arial"/>
        <family val="2"/>
      </rPr>
      <t>3) 10)</t>
    </r>
  </si>
  <si>
    <r>
      <t>С модулем определения перемежающегося КЗ на землю и аналоговым модулем</t>
    </r>
    <r>
      <rPr>
        <vertAlign val="superscript"/>
        <sz val="10"/>
        <rFont val="Arial"/>
        <family val="2"/>
      </rPr>
      <t xml:space="preserve"> 3) 10)</t>
    </r>
  </si>
  <si>
    <t>С аналоговым модулем</t>
  </si>
  <si>
    <r>
      <t xml:space="preserve">mit EWI (Erdschlusswischer) -Baustein </t>
    </r>
    <r>
      <rPr>
        <vertAlign val="superscript"/>
        <sz val="10"/>
        <rFont val="Arial"/>
        <family val="2"/>
      </rPr>
      <t>3) 10)</t>
    </r>
  </si>
  <si>
    <r>
      <t xml:space="preserve">С модулем определения перемежающегося КЗ на землю </t>
    </r>
    <r>
      <rPr>
        <vertAlign val="superscript"/>
        <sz val="10"/>
        <rFont val="Arial"/>
        <family val="2"/>
      </rPr>
      <t>3) 10)</t>
    </r>
  </si>
  <si>
    <t>Дополнительные опции:</t>
  </si>
  <si>
    <t>VA,nom = 60 ... 250 VDC / 100 ... 230 VAC и 4 сильноточных контакта</t>
  </si>
  <si>
    <t>VA,nom = 24 ... 60 VDC и 4 сильноточных контакта</t>
  </si>
  <si>
    <t>и 6 релейных входа и 3 дискретных выхода</t>
  </si>
  <si>
    <t>VA,nom = 24 ... 60 VDC и 6 релейных входов и 3 дискретных выхода</t>
  </si>
  <si>
    <t>VA,nom = 60 ... 250 VDC / 100 ... 230 VAC и 6 релейных выходов</t>
  </si>
  <si>
    <t>VA,nom = 24 ... 60 VDC и 6 релейных выходов</t>
  </si>
  <si>
    <t>Напряжение питания и дополнительные опции:</t>
  </si>
  <si>
    <t>для управления 3-мя  дополнительными распределительными устройствами</t>
  </si>
  <si>
    <t>1 модуль входов/выходов ( 6 дискретных входов/6 выходов)</t>
  </si>
  <si>
    <t>Дополнительные модули входов/выходов:</t>
  </si>
  <si>
    <t>Vnom = 50 ... 130 V (5-pole) цепи синхронизма</t>
  </si>
  <si>
    <t>Цепи напряжения:</t>
  </si>
  <si>
    <r>
      <t xml:space="preserve">Inom = </t>
    </r>
    <r>
      <rPr>
        <u val="single"/>
        <sz val="10"/>
        <color indexed="8"/>
        <rFont val="Arial"/>
        <family val="2"/>
      </rPr>
      <t>1 A</t>
    </r>
    <r>
      <rPr>
        <sz val="10"/>
        <color indexed="8"/>
        <rFont val="Arial"/>
        <family val="2"/>
      </rPr>
      <t xml:space="preserve"> / 5 A (T1...T4)</t>
    </r>
    <r>
      <rPr>
        <vertAlign val="superscript"/>
        <sz val="10"/>
        <color indexed="8"/>
        <rFont val="Arial"/>
        <family val="2"/>
      </rPr>
      <t xml:space="preserve"> 2)</t>
    </r>
  </si>
  <si>
    <r>
      <t xml:space="preserve">Inom = </t>
    </r>
    <r>
      <rPr>
        <u val="single"/>
        <sz val="10"/>
        <color indexed="8"/>
        <rFont val="Arial"/>
        <family val="2"/>
      </rPr>
      <t xml:space="preserve">1 A </t>
    </r>
    <r>
      <rPr>
        <sz val="10"/>
        <color indexed="8"/>
        <rFont val="Arial"/>
        <family val="2"/>
      </rPr>
      <t>/ 5 A (T1...T4)</t>
    </r>
    <r>
      <rPr>
        <vertAlign val="superscript"/>
        <sz val="10"/>
        <color indexed="8"/>
        <rFont val="Arial"/>
        <family val="2"/>
      </rPr>
      <t xml:space="preserve"> 2)</t>
    </r>
  </si>
  <si>
    <t>Цепи тока:</t>
  </si>
  <si>
    <t>Утопленный с задним подключением и съемным ЧМИ</t>
  </si>
  <si>
    <t>Навесной с передним подключением и съемным ЧМИ</t>
  </si>
  <si>
    <t>Утопленный с задним подключением</t>
  </si>
  <si>
    <t>Навесной с передним подключением</t>
  </si>
  <si>
    <t>Тип мотажа и тип дисплея:</t>
  </si>
  <si>
    <t xml:space="preserve">   управления 3-мя распределительными устройствами</t>
  </si>
  <si>
    <t xml:space="preserve">   и 6 дискретными входами and 6 выходными реле (2-pole) для </t>
  </si>
  <si>
    <t xml:space="preserve">   базовая конфигурация с  4  дискретными входами, 8 выходными реле </t>
  </si>
  <si>
    <r>
      <t xml:space="preserve">Grundgerät 84TE, Ringkabelschuhanschluss, </t>
    </r>
    <r>
      <rPr>
        <vertAlign val="superscript"/>
        <sz val="10"/>
        <color indexed="10"/>
        <rFont val="Arial"/>
        <family val="2"/>
      </rPr>
      <t>20)</t>
    </r>
  </si>
  <si>
    <r>
      <t xml:space="preserve">Корпус 84TE, подключение под винт всех цепей, </t>
    </r>
    <r>
      <rPr>
        <vertAlign val="superscript"/>
        <sz val="10"/>
        <rFont val="Arial"/>
        <family val="2"/>
      </rPr>
      <t>20)</t>
    </r>
  </si>
  <si>
    <t>Корпус 40TE, CT/VT под винт, I/O  подключение под фастон цепей тока</t>
  </si>
  <si>
    <t>Корпус 40TE,  подключение под фастон</t>
  </si>
  <si>
    <t>Базовая комплектация:</t>
  </si>
  <si>
    <t xml:space="preserve">Терминал токовой защиты и управления </t>
  </si>
  <si>
    <t>Готовая к использованию конфигурация</t>
  </si>
  <si>
    <t>Форма заказа</t>
  </si>
  <si>
    <t>Терминал токовой защиты и управления</t>
  </si>
  <si>
    <t>P139-</t>
  </si>
  <si>
    <t xml:space="preserve">базовая конфигурация с  4  дискретными входами, 8 выходными реле </t>
  </si>
  <si>
    <t xml:space="preserve">и 6 дискретными входами and 6 выходными реле (2-pole) для </t>
  </si>
  <si>
    <t>управления 3-мя распределительными устройствами</t>
  </si>
  <si>
    <t xml:space="preserve">Цепи тока=1.0A/5.0A (T1 to T4)                               </t>
  </si>
  <si>
    <t>1 модуль входов/выходов ( 6 дискретных входов/6 выходов) для управления 3-мя  дополнительными распределительными устройствами</t>
  </si>
  <si>
    <t>24 ... 60 VDC и 6 релейных выходов</t>
  </si>
  <si>
    <t>60 ... 250 VDC / 100 ... 230 VAC и 6 релейных выходов</t>
  </si>
  <si>
    <t>24 VDC и 6 релейных выходов</t>
  </si>
  <si>
    <t>48 ... 250 VDC / 100 ... 230 VAC и 6 релейных выходов</t>
  </si>
  <si>
    <t>24 ... 60 VDC и 6 релейных входов и 3 дискретных выхода</t>
  </si>
  <si>
    <t>60 … 250Vdc / 100 … 230Vac и 6 релейных входов и 3 дискретных выхода</t>
  </si>
  <si>
    <t>24 VDC и 6 релейных входов и 3 дискретных выхода</t>
  </si>
  <si>
    <t>48 … 250Vdc / 100 … 230Vac и 6 релейных входов и 3 дискретных выхода</t>
  </si>
  <si>
    <t>24 ... 60 VDC и 4 сильноточных контакта</t>
  </si>
  <si>
    <t>60 ... 250 VDC / 100 ... 230 VAC и 4 сильноточных контакта</t>
  </si>
  <si>
    <t>24 VDC и 4 сильноточных контакта</t>
  </si>
  <si>
    <t>48 ... 250 VDC / 100 ... 230 VAC и 4 сильноточных контакта</t>
  </si>
  <si>
    <t>С модулем определения перемежающегося КЗ на землю</t>
  </si>
  <si>
    <t>С модулем определения перемежающегося КЗ на землю и аналоговым модулем</t>
  </si>
  <si>
    <t>24 дискретных входа и  модуль для определения перемежающегося КЗ на землю</t>
  </si>
  <si>
    <t>С RTD модулем</t>
  </si>
  <si>
    <t>С RTD модулем и аналоговым модулем</t>
  </si>
  <si>
    <t>С RTD модулем и дискретным модулем</t>
  </si>
  <si>
    <t xml:space="preserve">Модули с (1-pole) сильноточным контактом: </t>
  </si>
  <si>
    <t xml:space="preserve"> …</t>
  </si>
  <si>
    <t>Протокол для переключения между: IEC 60870-5-101/-103, Modbus, DNP3, Courier и плата IRIG-B для синхронизации по времени и 2ой задний порт связи связи (RS485, IEC 60870-5-103)</t>
  </si>
  <si>
    <t xml:space="preserve"> 100 Mbit/s Ethernet, оптоволокно(стекло)SC и RJ45 и  2ой задний порт связи (RS485, IEC 60870-5-103)</t>
  </si>
  <si>
    <t xml:space="preserve"> 100 Mbit/s Ethernet, оптоволокно(стекло)ST и RJ45 и  2ой задний порт связи (RS485, IEC 60870-5-103)</t>
  </si>
  <si>
    <t>Протокол IEC61850, избыточное соединение</t>
  </si>
  <si>
    <t xml:space="preserve"> и плата IRIG-B для синхронизации по времени и 2му заднему входу (RS485, IEC 60870-5-103)</t>
  </si>
  <si>
    <t>Для связи используется RS232 по витой паре</t>
  </si>
  <si>
    <t>Английский (Немецкий)</t>
  </si>
  <si>
    <t>Px40 Английский (Английский)</t>
  </si>
  <si>
    <t>Немецкий (Английский)</t>
  </si>
  <si>
    <t>Французский (Английский)</t>
  </si>
  <si>
    <t>Испанский (Английский)</t>
  </si>
  <si>
    <t>Польский (Английский)</t>
  </si>
  <si>
    <t>Русский (Английский)</t>
  </si>
  <si>
    <t>Китайский (Английский)</t>
  </si>
  <si>
    <t>Идентификационный код устройства в SAP</t>
  </si>
  <si>
    <t>Готовые к использованию конфигурации</t>
  </si>
  <si>
    <t>Корпус 84TE, подключение под винт всех цепей</t>
  </si>
  <si>
    <t>Не поставляется с двумя  дискретными модулями</t>
  </si>
  <si>
    <t>Стандартная версия</t>
  </si>
  <si>
    <t>Не поставляется с модулем определения перемежающегося КЗ на землю</t>
  </si>
  <si>
    <t>Версия аппаратного и программного обеспечения</t>
  </si>
  <si>
    <t>-651</t>
  </si>
  <si>
    <t>313-4xx-651</t>
  </si>
  <si>
    <t>MTB 20</t>
  </si>
  <si>
    <t>MTB 21</t>
  </si>
  <si>
    <t>MUB 20</t>
  </si>
  <si>
    <t>MUB 21</t>
  </si>
  <si>
    <t>MVB 20</t>
  </si>
  <si>
    <t>MVB 21</t>
  </si>
  <si>
    <t>XD</t>
  </si>
  <si>
    <t>XE</t>
  </si>
  <si>
    <t>XF</t>
  </si>
  <si>
    <t>-738</t>
  </si>
  <si>
    <t>-650</t>
  </si>
  <si>
    <t>-739</t>
  </si>
  <si>
    <t>HNSL20</t>
  </si>
  <si>
    <t>HNSL21</t>
  </si>
  <si>
    <t>HNSL22</t>
  </si>
  <si>
    <t>HNSL23</t>
  </si>
  <si>
    <t>HNSL25</t>
  </si>
  <si>
    <t>HOSL20</t>
  </si>
  <si>
    <t>HOSL21</t>
  </si>
  <si>
    <t>HOSL22</t>
  </si>
  <si>
    <t>HOSL23</t>
  </si>
  <si>
    <t>HOSL25</t>
  </si>
  <si>
    <t>HPSL20</t>
  </si>
  <si>
    <t>HPSL21</t>
  </si>
  <si>
    <t>HPSL22</t>
  </si>
  <si>
    <t>HPSL23</t>
  </si>
  <si>
    <t>HPSL25</t>
  </si>
  <si>
    <t>TE</t>
  </si>
  <si>
    <t>TF</t>
  </si>
  <si>
    <t>TG</t>
  </si>
  <si>
    <t>LTHK20</t>
  </si>
  <si>
    <t>LTHK21</t>
  </si>
  <si>
    <t>LTHK22</t>
  </si>
  <si>
    <t>LTHK23</t>
  </si>
  <si>
    <t>LTHK24</t>
  </si>
  <si>
    <t>LTHK25</t>
  </si>
  <si>
    <t>LUHK20</t>
  </si>
  <si>
    <t>LUHK21</t>
  </si>
  <si>
    <t>LUHK22</t>
  </si>
  <si>
    <t>LUHK23</t>
  </si>
  <si>
    <t>LUHK24</t>
  </si>
  <si>
    <t>LUHK25</t>
  </si>
  <si>
    <t>LVHK20</t>
  </si>
  <si>
    <t>LVHK21</t>
  </si>
  <si>
    <t>LVHK22</t>
  </si>
  <si>
    <t>LVHK23</t>
  </si>
  <si>
    <t>LVHK24</t>
  </si>
  <si>
    <t>LVHK25</t>
  </si>
  <si>
    <t>TH</t>
  </si>
  <si>
    <t>TJ</t>
  </si>
  <si>
    <t>TK</t>
  </si>
  <si>
    <t>MTAA20</t>
  </si>
  <si>
    <t>MTAA21</t>
  </si>
  <si>
    <t>MTB 24</t>
  </si>
  <si>
    <t>MUAA20</t>
  </si>
  <si>
    <t>MUAA21</t>
  </si>
  <si>
    <t>MVAA20</t>
  </si>
  <si>
    <t>MUB 24</t>
  </si>
  <si>
    <t>MVAA21</t>
  </si>
  <si>
    <t>MVB 24</t>
  </si>
  <si>
    <t>XG</t>
  </si>
  <si>
    <t>XH</t>
  </si>
  <si>
    <t>XJ</t>
  </si>
  <si>
    <t>313-4xx-650-701</t>
  </si>
  <si>
    <t>312-4xx-634-738</t>
  </si>
  <si>
    <t>308-4xx-618-739</t>
  </si>
  <si>
    <t>MTBA20</t>
  </si>
  <si>
    <t>MTBA21</t>
  </si>
  <si>
    <t>MUBA20</t>
  </si>
  <si>
    <t>MUBA21</t>
  </si>
  <si>
    <t>MVBA20</t>
  </si>
  <si>
    <t>MVBA21</t>
  </si>
  <si>
    <t>XK</t>
  </si>
  <si>
    <t>XL</t>
  </si>
  <si>
    <t>XM</t>
  </si>
  <si>
    <t>313-4xx-651-701</t>
  </si>
  <si>
    <t>-652</t>
  </si>
  <si>
    <t>313-4xx-652-701</t>
  </si>
  <si>
    <t>MTCA20</t>
  </si>
  <si>
    <t>MTCA21</t>
  </si>
  <si>
    <t>MTCA22</t>
  </si>
  <si>
    <t>MTCA24</t>
  </si>
  <si>
    <t>MUCA20</t>
  </si>
  <si>
    <t>MUCA21</t>
  </si>
  <si>
    <t>MUCA22</t>
  </si>
  <si>
    <t>MUCA24</t>
  </si>
  <si>
    <t>MVCA20</t>
  </si>
  <si>
    <t>MVCA21</t>
  </si>
  <si>
    <t>MVCA22</t>
  </si>
  <si>
    <t>MVCA24</t>
  </si>
  <si>
    <t>XR</t>
  </si>
  <si>
    <t>XS</t>
  </si>
  <si>
    <t>XT</t>
  </si>
  <si>
    <t>-741</t>
  </si>
  <si>
    <t>LTHO20</t>
  </si>
  <si>
    <t>LTHO21</t>
  </si>
  <si>
    <t>LTHO22</t>
  </si>
  <si>
    <t>LTHO23</t>
  </si>
  <si>
    <t>LTHO24</t>
  </si>
  <si>
    <t>LTHO25</t>
  </si>
  <si>
    <t>LUHO20</t>
  </si>
  <si>
    <t>LUHO21</t>
  </si>
  <si>
    <t>LUHO22</t>
  </si>
  <si>
    <t>LUHO23</t>
  </si>
  <si>
    <t>LUHO24</t>
  </si>
  <si>
    <t>LUHO25</t>
  </si>
  <si>
    <t>LVHO20</t>
  </si>
  <si>
    <t>LVHO21</t>
  </si>
  <si>
    <t>LVHO22</t>
  </si>
  <si>
    <t>LVHO23</t>
  </si>
  <si>
    <t>LVHO24</t>
  </si>
  <si>
    <t>LVHO25</t>
  </si>
  <si>
    <t>TL</t>
  </si>
  <si>
    <t>TM</t>
  </si>
  <si>
    <t>TN</t>
  </si>
  <si>
    <t>312-4xx-634-741</t>
  </si>
  <si>
    <t>NTD 20</t>
  </si>
  <si>
    <t>OWE 20</t>
  </si>
  <si>
    <t>NTD 21</t>
  </si>
  <si>
    <t>OWE 21</t>
  </si>
  <si>
    <t>NTD 22</t>
  </si>
  <si>
    <t>OWE 24</t>
  </si>
  <si>
    <t>NTD 24</t>
  </si>
  <si>
    <t>OXE 20</t>
  </si>
  <si>
    <t>NTD 25</t>
  </si>
  <si>
    <t>OXE 21</t>
  </si>
  <si>
    <t>NUD 20</t>
  </si>
  <si>
    <t>OXE 24</t>
  </si>
  <si>
    <t>NUD 21</t>
  </si>
  <si>
    <t>OYE 20</t>
  </si>
  <si>
    <t>NUD 22</t>
  </si>
  <si>
    <t>OYE 21</t>
  </si>
  <si>
    <t>NUD 24</t>
  </si>
  <si>
    <t>OYE 24</t>
  </si>
  <si>
    <t>NUD 25</t>
  </si>
  <si>
    <t>NVD 20</t>
  </si>
  <si>
    <t>NVD 21</t>
  </si>
  <si>
    <t>NVD 22</t>
  </si>
  <si>
    <t>NVD 25</t>
  </si>
  <si>
    <t>XU</t>
  </si>
  <si>
    <t>XZ</t>
  </si>
  <si>
    <t>YA</t>
  </si>
  <si>
    <t>XV</t>
  </si>
  <si>
    <t>YB</t>
  </si>
  <si>
    <t>XY</t>
  </si>
  <si>
    <t>315-4xx-654</t>
  </si>
  <si>
    <t>314-4xx-653</t>
  </si>
  <si>
    <t>Transient ground fault module</t>
  </si>
  <si>
    <t>Transient ground fault &amp; analogue modules</t>
  </si>
  <si>
    <t>24 binary inputs and transient ground fault module</t>
  </si>
  <si>
    <t>-653</t>
  </si>
  <si>
    <t>-654</t>
  </si>
  <si>
    <t>With analog module and binary module (add. 24 binary inputs)</t>
  </si>
  <si>
    <t>With two binary modules (add. 48 binary inputs)</t>
  </si>
  <si>
    <t>Not Available with two binary modules fitted</t>
  </si>
  <si>
    <t>E9652109</t>
  </si>
  <si>
    <t>E9652110</t>
  </si>
  <si>
    <t>E9652111</t>
  </si>
  <si>
    <t>-984</t>
  </si>
  <si>
    <t>E9652158</t>
  </si>
  <si>
    <t>With binary module (add. 6 binary inputs and 8 outputs)</t>
  </si>
  <si>
    <t>With binary module (add. 6 binary inputs and 8 outputs) and 24 binary inputs</t>
  </si>
  <si>
    <t>With binary module (add. 6 binary inputs and 8 outputs) and analogue module</t>
  </si>
  <si>
    <t>With binary module (add. 6 binary inputs and 8 outputs) and RTD module</t>
  </si>
  <si>
    <t>With binary module (add. 6 binary inputs and 8 outputs) and TGF module</t>
  </si>
  <si>
    <t>Not Available with RTD module fitted</t>
  </si>
  <si>
    <t>Для связи используется 100 Mbit/s Ethernet, стекловолокно ST, PRP</t>
  </si>
  <si>
    <t>+ IRIG-B для временной синхронизации и 2-й порт (RS485, IEC 60870-5-103)</t>
  </si>
  <si>
    <t>С дискретным модулем   (доп. 6 входов и 8 выходов)</t>
  </si>
  <si>
    <t>С дискретным модулем   (доп. 6 входов и 8 выходов) и 24 дискретных входа</t>
  </si>
  <si>
    <t>С дискретным модулем   (доп. 6 входов и 8 выходов) и аналоговый модуль</t>
  </si>
  <si>
    <t>С дискретным модулем  (доп. 6 входов и 8 выходов) и  модуль RTD (тепловой)</t>
  </si>
  <si>
    <t>С дискретным модулем  (доп. 6 входов и 8 выходов) и модуль TGF</t>
  </si>
  <si>
    <t>Стандартный вариант с порогом переключения  65% от 24 VDC (Va,мин.)</t>
  </si>
  <si>
    <t>Специальный вариант с порогом переключения  65% от 127 VDC (Va,ном.)</t>
  </si>
  <si>
    <t>Специальный вариант с порогом переключения  65% от 220 VDC (Va,ном.)</t>
  </si>
  <si>
    <t>Специальный вариант с порогом переключения  65% от 110 VDC (Va,ном.)</t>
  </si>
  <si>
    <t>Специальный вариант с порогом переключения  65% от 250 VDC (Va,ном.)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</si>
</sst>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000"/>
    <numFmt numFmtId="205" formatCode="#0,000"/>
    <numFmt numFmtId="206" formatCode="0.000"/>
    <numFmt numFmtId="207" formatCode="00"/>
    <numFmt numFmtId="208" formatCode="00.0"/>
    <numFmt numFmtId="209" formatCode="0.0"/>
    <numFmt numFmtId="210" formatCode=";;;"/>
    <numFmt numFmtId="211" formatCode="000"/>
    <numFmt numFmtId="212" formatCode="###############"/>
    <numFmt numFmtId="213" formatCode="000000000000000"/>
    <numFmt numFmtId="214" formatCode="00000"/>
    <numFmt numFmtId="215" formatCode="\'0000"/>
    <numFmt numFmtId="216" formatCode="0###"/>
    <numFmt numFmtId="217" formatCode="mm/dd/yy"/>
    <numFmt numFmtId="218" formatCode="[$-809]dd\ mmmm\ yyyy"/>
    <numFmt numFmtId="219" formatCode="dd/mm/yy;@"/>
    <numFmt numFmtId="220" formatCode="dd/mm/yyyy;@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96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Wingdings"/>
      <family val="0"/>
    </font>
    <font>
      <b/>
      <sz val="10"/>
      <color indexed="8"/>
      <name val="Arial"/>
      <family val="2"/>
    </font>
    <font>
      <sz val="10"/>
      <name val="FuturaA Bk B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11"/>
      <name val="Arial"/>
      <family val="2"/>
    </font>
    <font>
      <b/>
      <sz val="15"/>
      <color indexed="17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SEOptimist"/>
      <family val="3"/>
    </font>
    <font>
      <b/>
      <sz val="14"/>
      <color indexed="9"/>
      <name val="SEOptimist"/>
      <family val="3"/>
    </font>
    <font>
      <b/>
      <sz val="10"/>
      <color indexed="9"/>
      <name val="SEOptimist"/>
      <family val="3"/>
    </font>
    <font>
      <b/>
      <sz val="12"/>
      <color indexed="9"/>
      <name val="SEOptimist"/>
      <family val="3"/>
    </font>
    <font>
      <b/>
      <sz val="10"/>
      <color indexed="17"/>
      <name val="SEOptimist"/>
      <family val="3"/>
    </font>
    <font>
      <sz val="6"/>
      <name val="Arial"/>
      <family val="2"/>
    </font>
    <font>
      <vertAlign val="superscript"/>
      <sz val="10"/>
      <color indexed="17"/>
      <name val="SEOptimist"/>
      <family val="3"/>
    </font>
    <font>
      <vertAlign val="superscript"/>
      <sz val="10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strike/>
      <sz val="10"/>
      <name val="Arial"/>
      <family val="2"/>
    </font>
    <font>
      <b/>
      <strike/>
      <sz val="10"/>
      <color indexed="17"/>
      <name val="Arial"/>
      <family val="2"/>
    </font>
    <font>
      <i/>
      <sz val="10"/>
      <name val="Arial"/>
      <family val="2"/>
    </font>
    <font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SEOptimist"/>
      <family val="3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SEOptimist"/>
      <family val="3"/>
    </font>
    <font>
      <b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8000"/>
      <name val="SEOptimist"/>
      <family val="3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17" xfId="0" applyBorder="1" applyAlignment="1" quotePrefix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206" fontId="0" fillId="0" borderId="0" xfId="0" applyNumberFormat="1" applyBorder="1" applyAlignment="1" quotePrefix="1">
      <alignment horizontal="right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" fillId="0" borderId="23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9" fillId="0" borderId="26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21" xfId="0" applyBorder="1" applyAlignment="1" quotePrefix="1">
      <alignment horizontal="center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3" xfId="0" applyBorder="1" applyAlignment="1" quotePrefix="1">
      <alignment/>
    </xf>
    <xf numFmtId="49" fontId="0" fillId="0" borderId="0" xfId="0" applyNumberFormat="1" applyBorder="1" applyAlignment="1" quotePrefix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0" fontId="0" fillId="0" borderId="23" xfId="0" applyFont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quotePrefix="1">
      <alignment/>
    </xf>
    <xf numFmtId="0" fontId="2" fillId="0" borderId="21" xfId="0" applyFont="1" applyBorder="1" applyAlignment="1" quotePrefix="1">
      <alignment/>
    </xf>
    <xf numFmtId="0" fontId="1" fillId="0" borderId="21" xfId="0" applyFont="1" applyBorder="1" applyAlignment="1">
      <alignment horizontal="center"/>
    </xf>
    <xf numFmtId="0" fontId="2" fillId="0" borderId="23" xfId="0" applyFont="1" applyBorder="1" applyAlignment="1" quotePrefix="1">
      <alignment/>
    </xf>
    <xf numFmtId="0" fontId="1" fillId="0" borderId="16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 quotePrefix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5" fillId="0" borderId="33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 horizontal="center"/>
    </xf>
    <xf numFmtId="0" fontId="1" fillId="0" borderId="23" xfId="0" applyFont="1" applyBorder="1" applyAlignment="1" quotePrefix="1">
      <alignment/>
    </xf>
    <xf numFmtId="0" fontId="1" fillId="33" borderId="32" xfId="0" applyFont="1" applyFill="1" applyBorder="1" applyAlignment="1">
      <alignment horizontal="center"/>
    </xf>
    <xf numFmtId="0" fontId="0" fillId="0" borderId="23" xfId="0" applyBorder="1" applyAlignment="1" quotePrefix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17" xfId="0" applyFill="1" applyBorder="1" applyAlignment="1">
      <alignment horizontal="center"/>
    </xf>
    <xf numFmtId="0" fontId="13" fillId="0" borderId="10" xfId="0" applyFont="1" applyBorder="1" applyAlignment="1">
      <alignment horizontal="right"/>
    </xf>
    <xf numFmtId="14" fontId="13" fillId="0" borderId="10" xfId="0" applyNumberFormat="1" applyFont="1" applyBorder="1" applyAlignment="1">
      <alignment horizontal="center"/>
    </xf>
    <xf numFmtId="0" fontId="22" fillId="0" borderId="0" xfId="0" applyFont="1" applyAlignment="1" quotePrefix="1">
      <alignment/>
    </xf>
    <xf numFmtId="0" fontId="12" fillId="0" borderId="21" xfId="0" applyFont="1" applyBorder="1" applyAlignment="1">
      <alignment/>
    </xf>
    <xf numFmtId="14" fontId="22" fillId="0" borderId="21" xfId="0" applyNumberFormat="1" applyFont="1" applyBorder="1" applyAlignment="1">
      <alignment horizontal="center"/>
    </xf>
    <xf numFmtId="14" fontId="22" fillId="0" borderId="21" xfId="0" applyNumberFormat="1" applyFont="1" applyBorder="1" applyAlignment="1" quotePrefix="1">
      <alignment horizontal="center"/>
    </xf>
    <xf numFmtId="0" fontId="22" fillId="0" borderId="23" xfId="0" applyFont="1" applyBorder="1" applyAlignment="1" quotePrefix="1">
      <alignment/>
    </xf>
    <xf numFmtId="0" fontId="22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22" fillId="0" borderId="23" xfId="0" applyFont="1" applyBorder="1" applyAlignment="1" quotePrefix="1">
      <alignment horizontal="center"/>
    </xf>
    <xf numFmtId="0" fontId="12" fillId="0" borderId="23" xfId="0" applyFont="1" applyBorder="1" applyAlignment="1" quotePrefix="1">
      <alignment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 quotePrefix="1">
      <alignment horizontal="center"/>
    </xf>
    <xf numFmtId="0" fontId="22" fillId="0" borderId="23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18" xfId="0" applyFont="1" applyBorder="1" applyAlignment="1" quotePrefix="1">
      <alignment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 quotePrefix="1">
      <alignment horizontal="center"/>
    </xf>
    <xf numFmtId="0" fontId="22" fillId="0" borderId="22" xfId="0" applyFont="1" applyBorder="1" applyAlignment="1" quotePrefix="1">
      <alignment horizontal="center"/>
    </xf>
    <xf numFmtId="0" fontId="12" fillId="0" borderId="16" xfId="0" applyFont="1" applyBorder="1" applyAlignment="1">
      <alignment/>
    </xf>
    <xf numFmtId="0" fontId="22" fillId="0" borderId="20" xfId="0" applyFont="1" applyBorder="1" applyAlignment="1">
      <alignment/>
    </xf>
    <xf numFmtId="0" fontId="12" fillId="0" borderId="0" xfId="0" applyFont="1" applyAlignment="1">
      <alignment/>
    </xf>
    <xf numFmtId="0" fontId="24" fillId="0" borderId="21" xfId="0" applyFont="1" applyFill="1" applyBorder="1" applyAlignment="1" quotePrefix="1">
      <alignment horizontal="center"/>
    </xf>
    <xf numFmtId="0" fontId="24" fillId="0" borderId="23" xfId="0" applyFont="1" applyFill="1" applyBorder="1" applyAlignment="1" quotePrefix="1">
      <alignment horizontal="center"/>
    </xf>
    <xf numFmtId="0" fontId="22" fillId="0" borderId="22" xfId="0" applyFont="1" applyBorder="1" applyAlignment="1">
      <alignment/>
    </xf>
    <xf numFmtId="0" fontId="24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 quotePrefix="1">
      <alignment horizontal="center"/>
    </xf>
    <xf numFmtId="0" fontId="22" fillId="0" borderId="0" xfId="0" applyFont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2" fillId="0" borderId="10" xfId="0" applyFont="1" applyBorder="1" applyAlignment="1" quotePrefix="1">
      <alignment horizontal="center"/>
    </xf>
    <xf numFmtId="0" fontId="12" fillId="0" borderId="32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22" fillId="0" borderId="10" xfId="0" applyNumberFormat="1" applyFont="1" applyBorder="1" applyAlignment="1" quotePrefix="1">
      <alignment horizontal="center"/>
    </xf>
    <xf numFmtId="0" fontId="0" fillId="0" borderId="19" xfId="0" applyBorder="1" applyAlignment="1" applyProtection="1">
      <alignment horizontal="center"/>
      <protection/>
    </xf>
    <xf numFmtId="0" fontId="22" fillId="0" borderId="21" xfId="0" applyFont="1" applyBorder="1" applyAlignment="1">
      <alignment/>
    </xf>
    <xf numFmtId="14" fontId="1" fillId="33" borderId="21" xfId="0" applyNumberFormat="1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22" fillId="0" borderId="14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" fillId="0" borderId="23" xfId="0" applyFont="1" applyBorder="1" applyAlignment="1" quotePrefix="1">
      <alignment/>
    </xf>
    <xf numFmtId="0" fontId="2" fillId="0" borderId="21" xfId="0" applyFont="1" applyBorder="1" applyAlignment="1" quotePrefix="1">
      <alignment horizontal="center"/>
    </xf>
    <xf numFmtId="0" fontId="2" fillId="0" borderId="23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3" fillId="0" borderId="21" xfId="0" applyFont="1" applyBorder="1" applyAlignment="1" quotePrefix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 quotePrefix="1">
      <alignment/>
    </xf>
    <xf numFmtId="0" fontId="1" fillId="0" borderId="19" xfId="0" applyFont="1" applyBorder="1" applyAlignment="1">
      <alignment/>
    </xf>
    <xf numFmtId="0" fontId="22" fillId="34" borderId="23" xfId="0" applyFont="1" applyFill="1" applyBorder="1" applyAlignment="1">
      <alignment horizontal="center"/>
    </xf>
    <xf numFmtId="206" fontId="0" fillId="0" borderId="21" xfId="0" applyNumberFormat="1" applyBorder="1" applyAlignment="1" quotePrefix="1">
      <alignment horizontal="right"/>
    </xf>
    <xf numFmtId="0" fontId="1" fillId="0" borderId="23" xfId="0" applyFont="1" applyBorder="1" applyAlignment="1">
      <alignment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23" xfId="0" applyFont="1" applyFill="1" applyBorder="1" applyAlignment="1">
      <alignment horizontal="center"/>
    </xf>
    <xf numFmtId="0" fontId="22" fillId="0" borderId="23" xfId="0" applyFont="1" applyBorder="1" applyAlignment="1" quotePrefix="1">
      <alignment horizontal="center" wrapText="1"/>
    </xf>
    <xf numFmtId="0" fontId="24" fillId="35" borderId="23" xfId="0" applyFont="1" applyFill="1" applyBorder="1" applyAlignment="1" quotePrefix="1">
      <alignment horizontal="center"/>
    </xf>
    <xf numFmtId="0" fontId="24" fillId="35" borderId="22" xfId="0" applyFont="1" applyFill="1" applyBorder="1" applyAlignment="1" quotePrefix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3" xfId="0" applyFont="1" applyFill="1" applyBorder="1" applyAlignment="1" quotePrefix="1">
      <alignment horizontal="center"/>
    </xf>
    <xf numFmtId="0" fontId="23" fillId="0" borderId="23" xfId="0" applyFont="1" applyFill="1" applyBorder="1" applyAlignment="1" quotePrefix="1">
      <alignment horizontal="center"/>
    </xf>
    <xf numFmtId="0" fontId="23" fillId="0" borderId="22" xfId="0" applyFont="1" applyFill="1" applyBorder="1" applyAlignment="1" quotePrefix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wrapText="1"/>
    </xf>
    <xf numFmtId="0" fontId="23" fillId="0" borderId="22" xfId="0" applyFont="1" applyBorder="1" applyAlignment="1" quotePrefix="1">
      <alignment horizontal="center"/>
    </xf>
    <xf numFmtId="0" fontId="24" fillId="0" borderId="2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3" fillId="0" borderId="23" xfId="0" applyFont="1" applyFill="1" applyBorder="1" applyAlignment="1" quotePrefix="1">
      <alignment horizontal="center" wrapText="1"/>
    </xf>
    <xf numFmtId="0" fontId="2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10" fillId="0" borderId="35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left"/>
    </xf>
    <xf numFmtId="0" fontId="1" fillId="0" borderId="22" xfId="0" applyFont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0" xfId="0" applyFill="1" applyBorder="1" applyAlignment="1">
      <alignment/>
    </xf>
    <xf numFmtId="0" fontId="22" fillId="34" borderId="23" xfId="0" applyFont="1" applyFill="1" applyBorder="1" applyAlignment="1" quotePrefix="1">
      <alignment horizontal="center"/>
    </xf>
    <xf numFmtId="0" fontId="0" fillId="36" borderId="13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8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23" xfId="0" applyFont="1" applyBorder="1" applyAlignment="1" quotePrefix="1">
      <alignment/>
    </xf>
    <xf numFmtId="0" fontId="0" fillId="0" borderId="18" xfId="0" applyFont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14" fontId="22" fillId="0" borderId="0" xfId="0" applyNumberFormat="1" applyFont="1" applyBorder="1" applyAlignment="1" quotePrefix="1">
      <alignment horizontal="center"/>
    </xf>
    <xf numFmtId="0" fontId="22" fillId="0" borderId="0" xfId="0" applyFont="1" applyBorder="1" applyAlignment="1" quotePrefix="1">
      <alignment horizontal="center"/>
    </xf>
    <xf numFmtId="0" fontId="22" fillId="34" borderId="0" xfId="0" applyFont="1" applyFill="1" applyBorder="1" applyAlignment="1" quotePrefix="1">
      <alignment horizontal="center"/>
    </xf>
    <xf numFmtId="0" fontId="23" fillId="0" borderId="0" xfId="0" applyFont="1" applyBorder="1" applyAlignment="1" quotePrefix="1">
      <alignment horizontal="center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36" xfId="39" applyFont="1" applyBorder="1">
      <alignment/>
      <protection/>
    </xf>
    <xf numFmtId="0" fontId="28" fillId="0" borderId="32" xfId="39" applyFont="1" applyFill="1" applyBorder="1" applyAlignment="1">
      <alignment horizontal="left"/>
      <protection/>
    </xf>
    <xf numFmtId="0" fontId="28" fillId="0" borderId="24" xfId="39" applyFont="1" applyFill="1" applyBorder="1" applyAlignment="1">
      <alignment/>
      <protection/>
    </xf>
    <xf numFmtId="0" fontId="0" fillId="0" borderId="0" xfId="0" applyAlignment="1">
      <alignment vertical="center"/>
    </xf>
    <xf numFmtId="0" fontId="19" fillId="0" borderId="37" xfId="39" applyFont="1" applyBorder="1" applyAlignment="1">
      <alignment/>
      <protection/>
    </xf>
    <xf numFmtId="0" fontId="19" fillId="0" borderId="38" xfId="39" applyFont="1" applyBorder="1" applyAlignment="1">
      <alignment/>
      <protection/>
    </xf>
    <xf numFmtId="0" fontId="3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19" fontId="0" fillId="0" borderId="17" xfId="0" applyNumberForma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23" xfId="0" applyFont="1" applyBorder="1" applyAlignment="1" quotePrefix="1">
      <alignment wrapText="1"/>
    </xf>
    <xf numFmtId="0" fontId="0" fillId="37" borderId="0" xfId="0" applyFill="1" applyAlignment="1">
      <alignment/>
    </xf>
    <xf numFmtId="0" fontId="20" fillId="37" borderId="0" xfId="0" applyFont="1" applyFill="1" applyBorder="1" applyAlignment="1">
      <alignment horizontal="left"/>
    </xf>
    <xf numFmtId="0" fontId="20" fillId="37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23" xfId="0" applyFont="1" applyFill="1" applyBorder="1" applyAlignment="1" quotePrefix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21" xfId="0" applyFont="1" applyFill="1" applyBorder="1" applyAlignment="1" quotePrefix="1">
      <alignment horizontal="center" wrapText="1"/>
    </xf>
    <xf numFmtId="0" fontId="22" fillId="0" borderId="22" xfId="0" applyFont="1" applyFill="1" applyBorder="1" applyAlignment="1" quotePrefix="1">
      <alignment horizontal="center" wrapText="1"/>
    </xf>
    <xf numFmtId="49" fontId="31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12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11" fillId="0" borderId="39" xfId="0" applyFont="1" applyBorder="1" applyAlignment="1" quotePrefix="1">
      <alignment horizontal="center"/>
    </xf>
    <xf numFmtId="0" fontId="34" fillId="0" borderId="34" xfId="0" applyFont="1" applyBorder="1" applyAlignment="1">
      <alignment horizontal="center"/>
    </xf>
    <xf numFmtId="0" fontId="34" fillId="0" borderId="34" xfId="0" applyFont="1" applyBorder="1" applyAlignment="1" quotePrefix="1">
      <alignment horizontal="center"/>
    </xf>
    <xf numFmtId="0" fontId="28" fillId="39" borderId="23" xfId="39" applyFont="1" applyFill="1" applyBorder="1" applyAlignment="1">
      <alignment/>
      <protection/>
    </xf>
    <xf numFmtId="0" fontId="28" fillId="36" borderId="23" xfId="39" applyFont="1" applyFill="1" applyBorder="1" applyAlignment="1">
      <alignment/>
      <protection/>
    </xf>
    <xf numFmtId="0" fontId="0" fillId="0" borderId="0" xfId="39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3" fillId="39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0" fontId="3" fillId="36" borderId="18" xfId="0" applyFont="1" applyFill="1" applyBorder="1" applyAlignment="1" quotePrefix="1">
      <alignment horizontal="center"/>
    </xf>
    <xf numFmtId="0" fontId="3" fillId="39" borderId="18" xfId="0" applyFont="1" applyFill="1" applyBorder="1" applyAlignment="1" quotePrefix="1">
      <alignment horizontal="center"/>
    </xf>
    <xf numFmtId="0" fontId="3" fillId="36" borderId="23" xfId="0" applyFon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23" xfId="0" applyFont="1" applyFill="1" applyBorder="1" applyAlignment="1" quotePrefix="1">
      <alignment horizontal="center"/>
    </xf>
    <xf numFmtId="0" fontId="3" fillId="39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0" fontId="3" fillId="39" borderId="24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0" fontId="3" fillId="36" borderId="0" xfId="0" applyFont="1" applyFill="1" applyBorder="1" applyAlignment="1" quotePrefix="1">
      <alignment horizontal="center"/>
    </xf>
    <xf numFmtId="0" fontId="5" fillId="36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35" fillId="36" borderId="32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4" fillId="39" borderId="32" xfId="0" applyFont="1" applyFill="1" applyBorder="1" applyAlignment="1">
      <alignment horizontal="center"/>
    </xf>
    <xf numFmtId="0" fontId="34" fillId="36" borderId="32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5" fillId="39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34" fillId="39" borderId="19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39" borderId="17" xfId="0" applyFont="1" applyFill="1" applyBorder="1" applyAlignment="1">
      <alignment/>
    </xf>
    <xf numFmtId="0" fontId="34" fillId="40" borderId="32" xfId="0" applyFont="1" applyFill="1" applyBorder="1" applyAlignment="1" applyProtection="1">
      <alignment horizontal="center" vertical="center"/>
      <protection/>
    </xf>
    <xf numFmtId="0" fontId="34" fillId="36" borderId="32" xfId="0" applyFont="1" applyFill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1" xfId="0" applyFont="1" applyBorder="1" applyAlignment="1" quotePrefix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 quotePrefix="1">
      <alignment/>
    </xf>
    <xf numFmtId="0" fontId="41" fillId="39" borderId="0" xfId="34" applyFont="1" applyFill="1">
      <alignment/>
      <protection/>
    </xf>
    <xf numFmtId="0" fontId="41" fillId="39" borderId="0" xfId="34" applyFont="1" applyFill="1" applyBorder="1" applyAlignment="1">
      <alignment horizontal="center"/>
      <protection/>
    </xf>
    <xf numFmtId="0" fontId="41" fillId="39" borderId="0" xfId="34" applyFont="1" applyFill="1" applyAlignment="1">
      <alignment horizontal="center"/>
      <protection/>
    </xf>
    <xf numFmtId="0" fontId="0" fillId="0" borderId="0" xfId="34">
      <alignment/>
      <protection/>
    </xf>
    <xf numFmtId="0" fontId="0" fillId="35" borderId="0" xfId="34" applyFill="1">
      <alignment/>
      <protection/>
    </xf>
    <xf numFmtId="0" fontId="0" fillId="41" borderId="0" xfId="34" applyFill="1" applyBorder="1" applyAlignment="1">
      <alignment horizontal="center"/>
      <protection/>
    </xf>
    <xf numFmtId="0" fontId="0" fillId="35" borderId="0" xfId="34" applyFill="1" applyAlignment="1">
      <alignment horizontal="center"/>
      <protection/>
    </xf>
    <xf numFmtId="0" fontId="0" fillId="39" borderId="0" xfId="34" applyFill="1">
      <alignment/>
      <protection/>
    </xf>
    <xf numFmtId="0" fontId="0" fillId="34" borderId="40" xfId="34" applyFill="1" applyBorder="1" applyAlignment="1">
      <alignment horizontal="center"/>
      <protection/>
    </xf>
    <xf numFmtId="0" fontId="0" fillId="39" borderId="0" xfId="34" applyFill="1" applyAlignment="1">
      <alignment horizontal="center"/>
      <protection/>
    </xf>
    <xf numFmtId="0" fontId="0" fillId="0" borderId="0" xfId="34" applyBorder="1">
      <alignment/>
      <protection/>
    </xf>
    <xf numFmtId="0" fontId="0" fillId="0" borderId="0" xfId="34" applyAlignment="1">
      <alignment horizontal="center"/>
      <protection/>
    </xf>
    <xf numFmtId="0" fontId="0" fillId="39" borderId="0" xfId="34" applyFill="1" applyBorder="1" applyAlignment="1">
      <alignment horizontal="center"/>
      <protection/>
    </xf>
    <xf numFmtId="0" fontId="0" fillId="0" borderId="0" xfId="34" applyBorder="1" applyAlignment="1">
      <alignment horizontal="center"/>
      <protection/>
    </xf>
    <xf numFmtId="0" fontId="0" fillId="0" borderId="0" xfId="34" quotePrefix="1">
      <alignment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 quotePrefix="1">
      <alignment horizontal="left"/>
    </xf>
    <xf numFmtId="0" fontId="22" fillId="0" borderId="0" xfId="0" applyFont="1" applyFill="1" applyAlignment="1" quotePrefix="1">
      <alignment/>
    </xf>
    <xf numFmtId="14" fontId="22" fillId="0" borderId="10" xfId="0" applyNumberFormat="1" applyFont="1" applyFill="1" applyBorder="1" applyAlignment="1" quotePrefix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 quotePrefix="1">
      <alignment horizontal="center"/>
    </xf>
    <xf numFmtId="0" fontId="22" fillId="0" borderId="10" xfId="0" applyFont="1" applyFill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15" xfId="39" applyFont="1" applyFill="1" applyBorder="1" applyAlignment="1">
      <alignment/>
      <protection/>
    </xf>
    <xf numFmtId="0" fontId="28" fillId="0" borderId="16" xfId="39" applyFont="1" applyFill="1" applyBorder="1" applyAlignment="1">
      <alignment/>
      <protection/>
    </xf>
    <xf numFmtId="0" fontId="5" fillId="36" borderId="23" xfId="0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0" fillId="0" borderId="0" xfId="34" applyAlignment="1">
      <alignment vertical="top"/>
      <protection/>
    </xf>
    <xf numFmtId="0" fontId="0" fillId="0" borderId="0" xfId="34" applyAlignment="1">
      <alignment horizontal="center" vertical="top"/>
      <protection/>
    </xf>
    <xf numFmtId="0" fontId="0" fillId="0" borderId="0" xfId="34" applyFill="1" applyAlignment="1">
      <alignment horizontal="center" vertical="top"/>
      <protection/>
    </xf>
    <xf numFmtId="49" fontId="0" fillId="0" borderId="0" xfId="34" applyNumberFormat="1" applyAlignment="1">
      <alignment vertical="top"/>
      <protection/>
    </xf>
    <xf numFmtId="0" fontId="0" fillId="38" borderId="0" xfId="34" applyFill="1" applyAlignment="1">
      <alignment horizontal="center" vertical="top"/>
      <protection/>
    </xf>
    <xf numFmtId="0" fontId="0" fillId="38" borderId="0" xfId="34" applyFill="1" applyAlignment="1">
      <alignment vertical="top"/>
      <protection/>
    </xf>
    <xf numFmtId="49" fontId="0" fillId="38" borderId="0" xfId="34" applyNumberFormat="1" applyFill="1" applyAlignment="1">
      <alignment vertical="top"/>
      <protection/>
    </xf>
    <xf numFmtId="49" fontId="0" fillId="38" borderId="0" xfId="34" applyNumberFormat="1" applyFill="1" applyBorder="1" applyAlignment="1">
      <alignment vertical="top"/>
      <protection/>
    </xf>
    <xf numFmtId="0" fontId="43" fillId="38" borderId="0" xfId="34" applyFont="1" applyFill="1" applyBorder="1">
      <alignment/>
      <protection/>
    </xf>
    <xf numFmtId="0" fontId="0" fillId="38" borderId="0" xfId="34" applyFill="1" applyBorder="1" applyAlignment="1">
      <alignment horizontal="center" vertical="top"/>
      <protection/>
    </xf>
    <xf numFmtId="0" fontId="0" fillId="38" borderId="0" xfId="34" applyFill="1" applyBorder="1" applyAlignment="1">
      <alignment vertical="top"/>
      <protection/>
    </xf>
    <xf numFmtId="49" fontId="0" fillId="0" borderId="0" xfId="34" applyNumberFormat="1" applyFont="1" applyAlignment="1">
      <alignment vertical="top"/>
      <protection/>
    </xf>
    <xf numFmtId="0" fontId="1" fillId="38" borderId="0" xfId="34" applyFont="1" applyFill="1" applyBorder="1" applyAlignment="1">
      <alignment horizontal="center" vertical="top"/>
      <protection/>
    </xf>
    <xf numFmtId="0" fontId="1" fillId="38" borderId="0" xfId="34" applyFont="1" applyFill="1" applyBorder="1" applyAlignment="1">
      <alignment vertical="top"/>
      <protection/>
    </xf>
    <xf numFmtId="49" fontId="1" fillId="38" borderId="0" xfId="34" applyNumberFormat="1" applyFont="1" applyFill="1" applyBorder="1" applyAlignment="1">
      <alignment vertical="top"/>
      <protection/>
    </xf>
    <xf numFmtId="49" fontId="1" fillId="38" borderId="0" xfId="34" applyNumberFormat="1" applyFont="1" applyFill="1" applyBorder="1" applyAlignment="1">
      <alignment vertical="top" wrapText="1"/>
      <protection/>
    </xf>
    <xf numFmtId="49" fontId="0" fillId="38" borderId="0" xfId="34" applyNumberFormat="1" applyFont="1" applyFill="1" applyBorder="1" applyAlignment="1">
      <alignment vertical="top"/>
      <protection/>
    </xf>
    <xf numFmtId="0" fontId="1" fillId="0" borderId="0" xfId="34" applyFont="1" applyAlignment="1">
      <alignment vertical="top"/>
      <protection/>
    </xf>
    <xf numFmtId="0" fontId="1" fillId="38" borderId="0" xfId="34" applyFont="1" applyFill="1" applyAlignment="1">
      <alignment vertical="top"/>
      <protection/>
    </xf>
    <xf numFmtId="0" fontId="0" fillId="38" borderId="0" xfId="34" applyFont="1" applyFill="1" applyBorder="1" applyAlignment="1">
      <alignment horizontal="center" vertical="top"/>
      <protection/>
    </xf>
    <xf numFmtId="0" fontId="0" fillId="38" borderId="0" xfId="34" applyFont="1" applyFill="1" applyBorder="1" applyAlignment="1">
      <alignment vertical="top"/>
      <protection/>
    </xf>
    <xf numFmtId="0" fontId="26" fillId="0" borderId="0" xfId="34" applyFont="1" applyAlignment="1">
      <alignment wrapText="1"/>
      <protection/>
    </xf>
    <xf numFmtId="0" fontId="26" fillId="38" borderId="0" xfId="34" applyFont="1" applyFill="1" applyAlignment="1">
      <alignment wrapText="1"/>
      <protection/>
    </xf>
    <xf numFmtId="0" fontId="26" fillId="38" borderId="0" xfId="34" applyFont="1" applyFill="1" applyBorder="1" applyAlignment="1">
      <alignment wrapText="1"/>
      <protection/>
    </xf>
    <xf numFmtId="0" fontId="2" fillId="38" borderId="0" xfId="34" applyFont="1" applyFill="1" applyBorder="1" applyAlignment="1">
      <alignment horizontal="center" vertical="top"/>
      <protection/>
    </xf>
    <xf numFmtId="0" fontId="2" fillId="38" borderId="0" xfId="34" applyFont="1" applyFill="1" applyBorder="1" applyAlignment="1">
      <alignment vertical="top"/>
      <protection/>
    </xf>
    <xf numFmtId="49" fontId="2" fillId="38" borderId="0" xfId="34" applyNumberFormat="1" applyFont="1" applyFill="1" applyBorder="1" applyAlignment="1">
      <alignment vertical="top"/>
      <protection/>
    </xf>
    <xf numFmtId="49" fontId="40" fillId="38" borderId="0" xfId="34" applyNumberFormat="1" applyFont="1" applyFill="1" applyBorder="1" applyAlignment="1">
      <alignment vertical="top"/>
      <protection/>
    </xf>
    <xf numFmtId="0" fontId="45" fillId="38" borderId="24" xfId="34" applyFont="1" applyFill="1" applyBorder="1" applyAlignment="1">
      <alignment horizontal="center" vertical="top"/>
      <protection/>
    </xf>
    <xf numFmtId="0" fontId="1" fillId="38" borderId="24" xfId="34" applyFont="1" applyFill="1" applyBorder="1" applyAlignment="1">
      <alignment horizontal="center" vertical="top"/>
      <protection/>
    </xf>
    <xf numFmtId="0" fontId="1" fillId="38" borderId="24" xfId="34" applyFont="1" applyFill="1" applyBorder="1" applyAlignment="1">
      <alignment vertical="top"/>
      <protection/>
    </xf>
    <xf numFmtId="49" fontId="1" fillId="38" borderId="24" xfId="34" applyNumberFormat="1" applyFont="1" applyFill="1" applyBorder="1" applyAlignment="1">
      <alignment vertical="top"/>
      <protection/>
    </xf>
    <xf numFmtId="49" fontId="0" fillId="38" borderId="24" xfId="34" applyNumberFormat="1" applyFont="1" applyFill="1" applyBorder="1" applyAlignment="1">
      <alignment vertical="top"/>
      <protection/>
    </xf>
    <xf numFmtId="0" fontId="0" fillId="38" borderId="24" xfId="34" applyFont="1" applyFill="1" applyBorder="1" applyAlignment="1">
      <alignment horizontal="center" vertical="top"/>
      <protection/>
    </xf>
    <xf numFmtId="0" fontId="0" fillId="38" borderId="24" xfId="34" applyFont="1" applyFill="1" applyBorder="1" applyAlignment="1">
      <alignment vertical="top"/>
      <protection/>
    </xf>
    <xf numFmtId="0" fontId="0" fillId="0" borderId="0" xfId="34" applyFont="1" applyAlignment="1">
      <alignment vertical="top"/>
      <protection/>
    </xf>
    <xf numFmtId="0" fontId="0" fillId="38" borderId="0" xfId="34" applyFont="1" applyFill="1" applyAlignment="1">
      <alignment vertical="top"/>
      <protection/>
    </xf>
    <xf numFmtId="0" fontId="45" fillId="38" borderId="13" xfId="34" applyFont="1" applyFill="1" applyBorder="1" applyAlignment="1">
      <alignment horizontal="center" vertical="top"/>
      <protection/>
    </xf>
    <xf numFmtId="0" fontId="0" fillId="38" borderId="13" xfId="34" applyFont="1" applyFill="1" applyBorder="1" applyAlignment="1">
      <alignment horizontal="center" vertical="top"/>
      <protection/>
    </xf>
    <xf numFmtId="0" fontId="0" fillId="38" borderId="13" xfId="34" applyFont="1" applyFill="1" applyBorder="1" applyAlignment="1">
      <alignment vertical="top"/>
      <protection/>
    </xf>
    <xf numFmtId="49" fontId="0" fillId="38" borderId="13" xfId="34" applyNumberFormat="1" applyFont="1" applyFill="1" applyBorder="1" applyAlignment="1">
      <alignment vertical="top"/>
      <protection/>
    </xf>
    <xf numFmtId="0" fontId="45" fillId="36" borderId="0" xfId="34" applyFont="1" applyFill="1" applyBorder="1" applyAlignment="1">
      <alignment horizontal="center" vertical="top"/>
      <protection/>
    </xf>
    <xf numFmtId="0" fontId="45" fillId="38" borderId="0" xfId="34" applyFont="1" applyFill="1" applyBorder="1" applyAlignment="1">
      <alignment horizontal="center" vertical="top"/>
      <protection/>
    </xf>
    <xf numFmtId="0" fontId="45" fillId="38" borderId="0" xfId="34" applyFont="1" applyFill="1" applyAlignment="1">
      <alignment horizontal="center" vertical="top"/>
      <protection/>
    </xf>
    <xf numFmtId="0" fontId="0" fillId="38" borderId="0" xfId="34" applyFont="1" applyFill="1" applyAlignment="1">
      <alignment horizontal="center" vertical="top"/>
      <protection/>
    </xf>
    <xf numFmtId="49" fontId="0" fillId="38" borderId="0" xfId="34" applyNumberFormat="1" applyFont="1" applyFill="1" applyAlignment="1">
      <alignment vertical="top"/>
      <protection/>
    </xf>
    <xf numFmtId="49" fontId="15" fillId="38" borderId="0" xfId="34" applyNumberFormat="1" applyFont="1" applyFill="1" applyBorder="1" applyAlignment="1">
      <alignment vertical="top"/>
      <protection/>
    </xf>
    <xf numFmtId="49" fontId="1" fillId="38" borderId="13" xfId="34" applyNumberFormat="1" applyFont="1" applyFill="1" applyBorder="1" applyAlignment="1">
      <alignment vertical="top"/>
      <protection/>
    </xf>
    <xf numFmtId="0" fontId="0" fillId="0" borderId="10" xfId="34" applyBorder="1">
      <alignment/>
      <protection/>
    </xf>
    <xf numFmtId="0" fontId="45" fillId="36" borderId="0" xfId="34" applyFont="1" applyFill="1" applyAlignment="1">
      <alignment horizontal="center" vertical="top"/>
      <protection/>
    </xf>
    <xf numFmtId="0" fontId="45" fillId="39" borderId="0" xfId="34" applyFont="1" applyFill="1" applyAlignment="1">
      <alignment horizontal="center" vertical="top"/>
      <protection/>
    </xf>
    <xf numFmtId="0" fontId="45" fillId="39" borderId="0" xfId="34" applyFont="1" applyFill="1" applyBorder="1" applyAlignment="1">
      <alignment horizontal="center" vertical="top"/>
      <protection/>
    </xf>
    <xf numFmtId="0" fontId="45" fillId="0" borderId="0" xfId="34" applyFont="1" applyBorder="1" applyAlignment="1">
      <alignment horizontal="center" vertical="top"/>
      <protection/>
    </xf>
    <xf numFmtId="0" fontId="2" fillId="38" borderId="0" xfId="34" applyFont="1" applyFill="1" applyAlignment="1">
      <alignment vertical="top"/>
      <protection/>
    </xf>
    <xf numFmtId="49" fontId="0" fillId="0" borderId="0" xfId="34" applyNumberFormat="1" applyFont="1" applyBorder="1" applyAlignment="1">
      <alignment vertical="top"/>
      <protection/>
    </xf>
    <xf numFmtId="49" fontId="0" fillId="0" borderId="0" xfId="34" applyNumberFormat="1" applyBorder="1" applyAlignment="1">
      <alignment vertical="top"/>
      <protection/>
    </xf>
    <xf numFmtId="49" fontId="9" fillId="0" borderId="0" xfId="34" applyNumberFormat="1" applyFont="1" applyAlignment="1">
      <alignment vertical="top"/>
      <protection/>
    </xf>
    <xf numFmtId="49" fontId="9" fillId="38" borderId="0" xfId="34" applyNumberFormat="1" applyFont="1" applyFill="1" applyBorder="1" applyAlignment="1">
      <alignment vertical="top"/>
      <protection/>
    </xf>
    <xf numFmtId="49" fontId="0" fillId="0" borderId="13" xfId="34" applyNumberFormat="1" applyFont="1" applyBorder="1" applyAlignment="1">
      <alignment vertical="top"/>
      <protection/>
    </xf>
    <xf numFmtId="0" fontId="45" fillId="0" borderId="13" xfId="34" applyFont="1" applyFill="1" applyBorder="1" applyAlignment="1">
      <alignment horizontal="center" vertical="top"/>
      <protection/>
    </xf>
    <xf numFmtId="4" fontId="45" fillId="39" borderId="0" xfId="34" applyNumberFormat="1" applyFont="1" applyFill="1" applyAlignment="1">
      <alignment vertical="top"/>
      <protection/>
    </xf>
    <xf numFmtId="0" fontId="2" fillId="38" borderId="13" xfId="34" applyFont="1" applyFill="1" applyBorder="1" applyAlignment="1">
      <alignment horizontal="center" vertical="top"/>
      <protection/>
    </xf>
    <xf numFmtId="0" fontId="2" fillId="38" borderId="13" xfId="34" applyFont="1" applyFill="1" applyBorder="1" applyAlignment="1">
      <alignment vertical="top"/>
      <protection/>
    </xf>
    <xf numFmtId="49" fontId="2" fillId="0" borderId="13" xfId="34" applyNumberFormat="1" applyFont="1" applyBorder="1" applyAlignment="1">
      <alignment vertical="top"/>
      <protection/>
    </xf>
    <xf numFmtId="49" fontId="2" fillId="38" borderId="13" xfId="34" applyNumberFormat="1" applyFont="1" applyFill="1" applyBorder="1" applyAlignment="1">
      <alignment vertical="top"/>
      <protection/>
    </xf>
    <xf numFmtId="49" fontId="2" fillId="0" borderId="0" xfId="34" applyNumberFormat="1" applyFont="1" applyBorder="1" applyAlignment="1">
      <alignment vertical="top"/>
      <protection/>
    </xf>
    <xf numFmtId="0" fontId="2" fillId="0" borderId="0" xfId="34" applyFont="1" applyAlignment="1">
      <alignment vertical="top"/>
      <protection/>
    </xf>
    <xf numFmtId="49" fontId="0" fillId="38" borderId="24" xfId="34" applyNumberFormat="1" applyFill="1" applyBorder="1" applyAlignment="1">
      <alignment vertical="top"/>
      <protection/>
    </xf>
    <xf numFmtId="4" fontId="45" fillId="39" borderId="0" xfId="34" applyNumberFormat="1" applyFont="1" applyFill="1" applyBorder="1" applyAlignment="1">
      <alignment vertical="top"/>
      <protection/>
    </xf>
    <xf numFmtId="49" fontId="0" fillId="38" borderId="13" xfId="34" applyNumberFormat="1" applyFill="1" applyBorder="1" applyAlignment="1">
      <alignment vertical="top"/>
      <protection/>
    </xf>
    <xf numFmtId="0" fontId="0" fillId="0" borderId="11" xfId="40" applyFont="1" applyBorder="1">
      <alignment/>
      <protection/>
    </xf>
    <xf numFmtId="0" fontId="48" fillId="38" borderId="13" xfId="34" applyFont="1" applyFill="1" applyBorder="1" applyAlignment="1">
      <alignment horizontal="center" vertical="top"/>
      <protection/>
    </xf>
    <xf numFmtId="0" fontId="48" fillId="38" borderId="0" xfId="34" applyFont="1" applyFill="1" applyBorder="1" applyAlignment="1">
      <alignment horizontal="center" vertical="top"/>
      <protection/>
    </xf>
    <xf numFmtId="49" fontId="0" fillId="38" borderId="0" xfId="34" applyNumberFormat="1" applyFill="1" applyBorder="1" applyAlignment="1">
      <alignment horizontal="center" vertical="top"/>
      <protection/>
    </xf>
    <xf numFmtId="0" fontId="45" fillId="0" borderId="0" xfId="34" applyFont="1" applyFill="1" applyBorder="1" applyAlignment="1">
      <alignment horizontal="center" vertical="top"/>
      <protection/>
    </xf>
    <xf numFmtId="0" fontId="49" fillId="38" borderId="0" xfId="34" applyFont="1" applyFill="1" applyBorder="1" applyAlignment="1">
      <alignment horizontal="center" vertical="top"/>
      <protection/>
    </xf>
    <xf numFmtId="0" fontId="45" fillId="36" borderId="41" xfId="34" applyFont="1" applyFill="1" applyBorder="1" applyAlignment="1">
      <alignment horizontal="center" vertical="top"/>
      <protection/>
    </xf>
    <xf numFmtId="0" fontId="21" fillId="38" borderId="0" xfId="34" applyFont="1" applyFill="1" applyBorder="1" applyAlignment="1">
      <alignment horizontal="center" vertical="top"/>
      <protection/>
    </xf>
    <xf numFmtId="0" fontId="21" fillId="38" borderId="0" xfId="34" applyFont="1" applyFill="1" applyBorder="1" applyAlignment="1">
      <alignment vertical="top"/>
      <protection/>
    </xf>
    <xf numFmtId="49" fontId="21" fillId="38" borderId="0" xfId="34" applyNumberFormat="1" applyFont="1" applyFill="1" applyBorder="1" applyAlignment="1">
      <alignment vertical="top"/>
      <protection/>
    </xf>
    <xf numFmtId="0" fontId="0" fillId="38" borderId="24" xfId="34" applyFill="1" applyBorder="1" applyAlignment="1">
      <alignment horizontal="center" vertical="top"/>
      <protection/>
    </xf>
    <xf numFmtId="0" fontId="21" fillId="0" borderId="0" xfId="34" applyFont="1" applyAlignment="1">
      <alignment vertical="top"/>
      <protection/>
    </xf>
    <xf numFmtId="0" fontId="21" fillId="38" borderId="0" xfId="34" applyFont="1" applyFill="1" applyAlignment="1">
      <alignment vertical="top"/>
      <protection/>
    </xf>
    <xf numFmtId="0" fontId="0" fillId="38" borderId="13" xfId="34" applyFill="1" applyBorder="1" applyAlignment="1">
      <alignment horizontal="center" vertical="top"/>
      <protection/>
    </xf>
    <xf numFmtId="49" fontId="9" fillId="0" borderId="0" xfId="34" applyNumberFormat="1" applyFont="1" applyBorder="1" applyAlignment="1">
      <alignment vertical="top"/>
      <protection/>
    </xf>
    <xf numFmtId="49" fontId="21" fillId="0" borderId="0" xfId="34" applyNumberFormat="1" applyFont="1" applyBorder="1" applyAlignment="1">
      <alignment vertical="top"/>
      <protection/>
    </xf>
    <xf numFmtId="49" fontId="45" fillId="38" borderId="24" xfId="34" applyNumberFormat="1" applyFont="1" applyFill="1" applyBorder="1" applyAlignment="1">
      <alignment horizontal="center" vertical="top"/>
      <protection/>
    </xf>
    <xf numFmtId="49" fontId="0" fillId="0" borderId="24" xfId="34" applyNumberFormat="1" applyFont="1" applyBorder="1" applyAlignment="1">
      <alignment vertical="top"/>
      <protection/>
    </xf>
    <xf numFmtId="49" fontId="45" fillId="38" borderId="13" xfId="34" applyNumberFormat="1" applyFont="1" applyFill="1" applyBorder="1" applyAlignment="1">
      <alignment horizontal="center" vertical="top"/>
      <protection/>
    </xf>
    <xf numFmtId="0" fontId="1" fillId="38" borderId="13" xfId="34" applyFont="1" applyFill="1" applyBorder="1" applyAlignment="1">
      <alignment horizontal="center" vertical="top"/>
      <protection/>
    </xf>
    <xf numFmtId="0" fontId="1" fillId="38" borderId="13" xfId="34" applyFont="1" applyFill="1" applyBorder="1" applyAlignment="1">
      <alignment vertical="top"/>
      <protection/>
    </xf>
    <xf numFmtId="0" fontId="0" fillId="36" borderId="0" xfId="34" applyFont="1" applyFill="1" applyBorder="1" applyAlignment="1">
      <alignment horizontal="center" vertical="top"/>
      <protection/>
    </xf>
    <xf numFmtId="0" fontId="0" fillId="39" borderId="0" xfId="34" applyFont="1" applyFill="1" applyBorder="1" applyAlignment="1">
      <alignment horizontal="center" vertical="top"/>
      <protection/>
    </xf>
    <xf numFmtId="0" fontId="1" fillId="36" borderId="0" xfId="34" applyFont="1" applyFill="1" applyBorder="1" applyAlignment="1">
      <alignment horizontal="center" vertical="top"/>
      <protection/>
    </xf>
    <xf numFmtId="0" fontId="1" fillId="39" borderId="0" xfId="34" applyFont="1" applyFill="1" applyBorder="1" applyAlignment="1">
      <alignment horizontal="center" vertical="top"/>
      <protection/>
    </xf>
    <xf numFmtId="0" fontId="0" fillId="36" borderId="0" xfId="34" applyFill="1" applyBorder="1" applyAlignment="1">
      <alignment horizontal="center" vertical="top"/>
      <protection/>
    </xf>
    <xf numFmtId="0" fontId="0" fillId="39" borderId="0" xfId="34" applyFill="1" applyBorder="1" applyAlignment="1">
      <alignment horizontal="center" vertical="top"/>
      <protection/>
    </xf>
    <xf numFmtId="0" fontId="2" fillId="36" borderId="0" xfId="34" applyFont="1" applyFill="1" applyBorder="1" applyAlignment="1">
      <alignment horizontal="center" vertical="top"/>
      <protection/>
    </xf>
    <xf numFmtId="0" fontId="2" fillId="39" borderId="0" xfId="34" applyFont="1" applyFill="1" applyBorder="1" applyAlignment="1">
      <alignment horizontal="center" vertical="top"/>
      <protection/>
    </xf>
    <xf numFmtId="0" fontId="2" fillId="38" borderId="24" xfId="34" applyFont="1" applyFill="1" applyBorder="1" applyAlignment="1">
      <alignment horizontal="center" vertical="top"/>
      <protection/>
    </xf>
    <xf numFmtId="0" fontId="2" fillId="38" borderId="24" xfId="34" applyFont="1" applyFill="1" applyBorder="1" applyAlignment="1">
      <alignment vertical="top"/>
      <protection/>
    </xf>
    <xf numFmtId="49" fontId="2" fillId="38" borderId="24" xfId="34" applyNumberFormat="1" applyFont="1" applyFill="1" applyBorder="1" applyAlignment="1">
      <alignment vertical="top"/>
      <protection/>
    </xf>
    <xf numFmtId="0" fontId="0" fillId="38" borderId="13" xfId="34" applyFill="1" applyBorder="1" applyAlignment="1">
      <alignment vertical="top"/>
      <protection/>
    </xf>
    <xf numFmtId="0" fontId="45" fillId="38" borderId="24" xfId="34" applyFont="1" applyFill="1" applyBorder="1" applyAlignment="1">
      <alignment vertical="top"/>
      <protection/>
    </xf>
    <xf numFmtId="0" fontId="45" fillId="38" borderId="13" xfId="34" applyFont="1" applyFill="1" applyBorder="1" applyAlignment="1">
      <alignment vertical="top"/>
      <protection/>
    </xf>
    <xf numFmtId="0" fontId="45" fillId="38" borderId="0" xfId="34" applyFont="1" applyFill="1" applyBorder="1" applyAlignment="1">
      <alignment vertical="top"/>
      <protection/>
    </xf>
    <xf numFmtId="0" fontId="21" fillId="36" borderId="0" xfId="34" applyFont="1" applyFill="1" applyBorder="1" applyAlignment="1">
      <alignment horizontal="center" vertical="top"/>
      <protection/>
    </xf>
    <xf numFmtId="0" fontId="21" fillId="39" borderId="0" xfId="34" applyFont="1" applyFill="1" applyBorder="1" applyAlignment="1">
      <alignment horizontal="center" vertical="top"/>
      <protection/>
    </xf>
    <xf numFmtId="49" fontId="0" fillId="38" borderId="0" xfId="34" applyNumberFormat="1" applyFont="1" applyFill="1" applyBorder="1" applyAlignment="1">
      <alignment horizontal="left" vertical="top"/>
      <protection/>
    </xf>
    <xf numFmtId="49" fontId="0" fillId="0" borderId="13" xfId="34" applyNumberFormat="1" applyBorder="1" applyAlignment="1">
      <alignment vertical="top"/>
      <protection/>
    </xf>
    <xf numFmtId="49" fontId="50" fillId="38" borderId="13" xfId="34" applyNumberFormat="1" applyFont="1" applyFill="1" applyBorder="1" applyAlignment="1">
      <alignment vertical="top"/>
      <protection/>
    </xf>
    <xf numFmtId="0" fontId="2" fillId="0" borderId="26" xfId="40" applyFont="1" applyBorder="1">
      <alignment/>
      <protection/>
    </xf>
    <xf numFmtId="0" fontId="0" fillId="0" borderId="27" xfId="40" applyFont="1" applyBorder="1">
      <alignment/>
      <protection/>
    </xf>
    <xf numFmtId="49" fontId="0" fillId="0" borderId="24" xfId="34" applyNumberFormat="1" applyBorder="1" applyAlignment="1">
      <alignment vertical="top"/>
      <protection/>
    </xf>
    <xf numFmtId="0" fontId="45" fillId="36" borderId="0" xfId="34" applyFont="1" applyFill="1" applyBorder="1" applyAlignment="1">
      <alignment vertical="top"/>
      <protection/>
    </xf>
    <xf numFmtId="0" fontId="92" fillId="38" borderId="42" xfId="34" applyFont="1" applyFill="1" applyBorder="1" applyAlignment="1">
      <alignment horizontal="center" vertical="top"/>
      <protection/>
    </xf>
    <xf numFmtId="0" fontId="92" fillId="38" borderId="42" xfId="34" applyFont="1" applyFill="1" applyBorder="1" applyAlignment="1">
      <alignment horizontal="left" vertical="top"/>
      <protection/>
    </xf>
    <xf numFmtId="0" fontId="39" fillId="42" borderId="42" xfId="34" applyFont="1" applyFill="1" applyBorder="1" applyAlignment="1">
      <alignment horizontal="center" vertical="top"/>
      <protection/>
    </xf>
    <xf numFmtId="49" fontId="38" fillId="42" borderId="42" xfId="34" applyNumberFormat="1" applyFont="1" applyFill="1" applyBorder="1" applyAlignment="1">
      <alignment horizontal="right" vertical="top"/>
      <protection/>
    </xf>
    <xf numFmtId="49" fontId="38" fillId="42" borderId="42" xfId="34" applyNumberFormat="1" applyFont="1" applyFill="1" applyBorder="1" applyAlignment="1">
      <alignment vertical="top"/>
      <protection/>
    </xf>
    <xf numFmtId="0" fontId="35" fillId="38" borderId="0" xfId="34" applyFont="1" applyFill="1" applyBorder="1" applyAlignment="1">
      <alignment vertical="top"/>
      <protection/>
    </xf>
    <xf numFmtId="49" fontId="45" fillId="38" borderId="0" xfId="34" applyNumberFormat="1" applyFont="1" applyFill="1" applyBorder="1" applyAlignment="1">
      <alignment horizontal="center" vertical="top"/>
      <protection/>
    </xf>
    <xf numFmtId="0" fontId="35" fillId="38" borderId="0" xfId="34" applyFont="1" applyFill="1" applyBorder="1" applyAlignment="1">
      <alignment horizontal="center" vertical="top"/>
      <protection/>
    </xf>
    <xf numFmtId="0" fontId="0" fillId="38" borderId="0" xfId="34" applyFill="1">
      <alignment/>
      <protection/>
    </xf>
    <xf numFmtId="0" fontId="0" fillId="38" borderId="0" xfId="34" applyFill="1" applyAlignment="1">
      <alignment horizontal="center"/>
      <protection/>
    </xf>
    <xf numFmtId="49" fontId="45" fillId="38" borderId="0" xfId="34" applyNumberFormat="1" applyFont="1" applyFill="1" applyBorder="1" applyAlignment="1">
      <alignment horizontal="right" vertical="top"/>
      <protection/>
    </xf>
    <xf numFmtId="49" fontId="45" fillId="38" borderId="0" xfId="34" applyNumberFormat="1" applyFont="1" applyFill="1" applyBorder="1" applyAlignment="1">
      <alignment vertical="top"/>
      <protection/>
    </xf>
    <xf numFmtId="49" fontId="35" fillId="38" borderId="0" xfId="34" applyNumberFormat="1" applyFont="1" applyFill="1" applyBorder="1" applyAlignment="1">
      <alignment vertical="top"/>
      <protection/>
    </xf>
    <xf numFmtId="0" fontId="33" fillId="38" borderId="0" xfId="34" applyFont="1" applyFill="1" applyAlignment="1">
      <alignment vertical="top"/>
      <protection/>
    </xf>
    <xf numFmtId="0" fontId="36" fillId="38" borderId="0" xfId="34" applyFont="1" applyFill="1" applyAlignment="1">
      <alignment horizontal="center" vertical="top"/>
      <protection/>
    </xf>
    <xf numFmtId="0" fontId="53" fillId="38" borderId="0" xfId="34" applyFont="1" applyFill="1" applyAlignment="1">
      <alignment vertical="top"/>
      <protection/>
    </xf>
    <xf numFmtId="0" fontId="32" fillId="38" borderId="0" xfId="34" applyFont="1" applyFill="1" applyAlignment="1">
      <alignment vertical="top"/>
      <protection/>
    </xf>
    <xf numFmtId="49" fontId="31" fillId="38" borderId="0" xfId="34" applyNumberFormat="1" applyFont="1" applyFill="1" applyAlignment="1">
      <alignment vertical="top"/>
      <protection/>
    </xf>
    <xf numFmtId="0" fontId="29" fillId="0" borderId="43" xfId="0" applyFont="1" applyBorder="1" applyAlignment="1" applyProtection="1">
      <alignment/>
      <protection locked="0"/>
    </xf>
    <xf numFmtId="0" fontId="4" fillId="0" borderId="26" xfId="0" applyFont="1" applyBorder="1" applyAlignment="1" quotePrefix="1">
      <alignment/>
    </xf>
    <xf numFmtId="49" fontId="0" fillId="38" borderId="0" xfId="34" applyNumberFormat="1" applyFont="1" applyFill="1" applyBorder="1" applyAlignment="1">
      <alignment vertical="top" wrapText="1"/>
      <protection/>
    </xf>
    <xf numFmtId="0" fontId="4" fillId="0" borderId="27" xfId="0" applyFont="1" applyFill="1" applyBorder="1" applyAlignment="1">
      <alignment/>
    </xf>
    <xf numFmtId="0" fontId="33" fillId="0" borderId="0" xfId="0" applyFont="1" applyBorder="1" applyAlignment="1">
      <alignment horizontal="center" vertical="top"/>
    </xf>
    <xf numFmtId="0" fontId="0" fillId="0" borderId="21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219" fontId="0" fillId="0" borderId="17" xfId="38" applyNumberFormat="1" applyFont="1" applyBorder="1" applyAlignment="1">
      <alignment horizontal="center"/>
      <protection/>
    </xf>
    <xf numFmtId="0" fontId="2" fillId="0" borderId="13" xfId="0" applyFont="1" applyBorder="1" applyAlignment="1">
      <alignment/>
    </xf>
    <xf numFmtId="219" fontId="0" fillId="0" borderId="20" xfId="38" applyNumberFormat="1" applyFont="1" applyBorder="1" applyAlignment="1">
      <alignment horizontal="center"/>
      <protection/>
    </xf>
    <xf numFmtId="0" fontId="93" fillId="0" borderId="23" xfId="0" applyFont="1" applyFill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9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0" fillId="0" borderId="22" xfId="0" applyFont="1" applyBorder="1" applyAlignment="1" quotePrefix="1">
      <alignment/>
    </xf>
    <xf numFmtId="0" fontId="93" fillId="0" borderId="0" xfId="0" applyFont="1" applyFill="1" applyAlignment="1">
      <alignment horizontal="center"/>
    </xf>
    <xf numFmtId="0" fontId="22" fillId="43" borderId="23" xfId="0" applyFont="1" applyFill="1" applyBorder="1" applyAlignment="1">
      <alignment horizontal="center"/>
    </xf>
    <xf numFmtId="49" fontId="45" fillId="38" borderId="0" xfId="34" applyNumberFormat="1" applyFont="1" applyFill="1" applyBorder="1" applyAlignment="1">
      <alignment horizontal="center" vertical="top"/>
      <protection/>
    </xf>
    <xf numFmtId="0" fontId="35" fillId="38" borderId="0" xfId="34" applyFont="1" applyFill="1" applyBorder="1" applyAlignment="1">
      <alignment horizontal="center" vertical="top"/>
      <protection/>
    </xf>
    <xf numFmtId="49" fontId="37" fillId="42" borderId="42" xfId="34" applyNumberFormat="1" applyFont="1" applyFill="1" applyBorder="1" applyAlignment="1">
      <alignment horizontal="left" vertical="center"/>
      <protection/>
    </xf>
    <xf numFmtId="49" fontId="44" fillId="38" borderId="0" xfId="34" applyNumberFormat="1" applyFont="1" applyFill="1" applyBorder="1" applyAlignment="1">
      <alignment horizontal="left" vertical="top" wrapText="1"/>
      <protection/>
    </xf>
    <xf numFmtId="0" fontId="9" fillId="0" borderId="2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44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5" fillId="0" borderId="26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39" xfId="0" applyFont="1" applyBorder="1" applyAlignment="1">
      <alignment horizontal="center"/>
    </xf>
    <xf numFmtId="14" fontId="5" fillId="41" borderId="44" xfId="0" applyNumberFormat="1" applyFont="1" applyFill="1" applyBorder="1" applyAlignment="1" applyProtection="1">
      <alignment horizontal="center" vertical="center"/>
      <protection locked="0"/>
    </xf>
    <xf numFmtId="14" fontId="5" fillId="41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quotePrefix="1">
      <alignment horizontal="right"/>
    </xf>
    <xf numFmtId="0" fontId="0" fillId="0" borderId="39" xfId="0" applyBorder="1" applyAlignment="1">
      <alignment/>
    </xf>
    <xf numFmtId="0" fontId="5" fillId="0" borderId="46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9" xfId="0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" xfId="35"/>
    <cellStyle name="Normal 3 2" xfId="36"/>
    <cellStyle name="Normal 3 2 2" xfId="37"/>
    <cellStyle name="Normal_Book1" xfId="38"/>
    <cellStyle name="Normal_Configurator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139%20OrderForm_v18_03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ENG"/>
      <sheetName val="Configurator"/>
      <sheetName val="Master Text"/>
      <sheetName val="Availability"/>
      <sheetName val="Change Log"/>
      <sheetName val="BOM"/>
      <sheetName val="Tendering"/>
      <sheetName val="Routing"/>
      <sheetName val="Routing DB"/>
      <sheetName val="Parts List"/>
      <sheetName val="Processor Lookup"/>
      <sheetName val="Date Drivers"/>
      <sheetName val="Date Drivers HIST"/>
      <sheetName val="Codes"/>
      <sheetName val="Codes HIST"/>
      <sheetName val="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9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.75" customHeight="1"/>
  <cols>
    <col min="1" max="1" width="36.7109375" style="427" customWidth="1"/>
    <col min="2" max="2" width="26.28125" style="427" customWidth="1"/>
    <col min="3" max="3" width="36.7109375" style="427" hidden="1" customWidth="1"/>
    <col min="4" max="4" width="25.421875" style="427" hidden="1" customWidth="1"/>
    <col min="5" max="5" width="3.00390625" style="424" customWidth="1"/>
    <col min="6" max="12" width="3.00390625" style="425" customWidth="1"/>
    <col min="13" max="13" width="5.8515625" style="425" customWidth="1"/>
    <col min="14" max="15" width="6.00390625" style="425" customWidth="1"/>
    <col min="16" max="16" width="5.8515625" style="425" customWidth="1"/>
    <col min="17" max="17" width="6.140625" style="425" customWidth="1"/>
    <col min="18" max="18" width="6.28125" style="425" customWidth="1"/>
    <col min="19" max="19" width="4.8515625" style="425" customWidth="1"/>
    <col min="20" max="20" width="2.421875" style="426" customWidth="1"/>
    <col min="21" max="21" width="4.8515625" style="425" customWidth="1"/>
    <col min="22" max="22" width="2.421875" style="426" customWidth="1"/>
    <col min="23" max="23" width="6.00390625" style="425" customWidth="1"/>
    <col min="24" max="16384" width="11.421875" style="424" customWidth="1"/>
  </cols>
  <sheetData>
    <row r="1" spans="1:31" ht="24">
      <c r="A1" s="556" t="s">
        <v>1431</v>
      </c>
      <c r="B1" s="430"/>
      <c r="C1" s="555"/>
      <c r="D1" s="553"/>
      <c r="E1" s="428"/>
      <c r="F1" s="428"/>
      <c r="G1" s="428"/>
      <c r="H1" s="428"/>
      <c r="I1" s="428"/>
      <c r="J1" s="428"/>
      <c r="K1" s="428"/>
      <c r="L1" s="428"/>
      <c r="M1" s="428"/>
      <c r="N1" s="555" t="s">
        <v>688</v>
      </c>
      <c r="O1" s="553"/>
      <c r="P1" s="428"/>
      <c r="Q1" s="428"/>
      <c r="R1" s="428"/>
      <c r="S1" s="546"/>
      <c r="T1" s="546"/>
      <c r="U1" s="546"/>
      <c r="V1" s="428"/>
      <c r="W1" s="546"/>
      <c r="X1" s="544"/>
      <c r="Y1" s="429"/>
      <c r="Z1" s="429"/>
      <c r="AA1" s="429"/>
      <c r="AB1" s="429"/>
      <c r="AC1" s="429"/>
      <c r="AD1" s="429"/>
      <c r="AE1" s="429"/>
    </row>
    <row r="2" spans="2:31" ht="15.75" customHeight="1">
      <c r="B2" s="430"/>
      <c r="C2" s="547"/>
      <c r="D2" s="553"/>
      <c r="E2" s="428"/>
      <c r="F2" s="428"/>
      <c r="G2" s="428"/>
      <c r="H2" s="428"/>
      <c r="I2" s="428"/>
      <c r="J2" s="428"/>
      <c r="K2" s="428"/>
      <c r="L2" s="428"/>
      <c r="M2" s="428"/>
      <c r="N2" s="554" t="s">
        <v>1430</v>
      </c>
      <c r="O2" s="553"/>
      <c r="P2" s="428"/>
      <c r="Q2" s="428"/>
      <c r="R2" s="428"/>
      <c r="S2" s="428"/>
      <c r="T2" s="547"/>
      <c r="U2" s="547"/>
      <c r="V2" s="547"/>
      <c r="W2" s="546"/>
      <c r="X2" s="544"/>
      <c r="Y2" s="429"/>
      <c r="Z2" s="429"/>
      <c r="AA2" s="429"/>
      <c r="AB2" s="429"/>
      <c r="AC2" s="429"/>
      <c r="AD2" s="429"/>
      <c r="AE2" s="429"/>
    </row>
    <row r="3" spans="1:31" ht="15.75" customHeight="1">
      <c r="A3" s="547"/>
      <c r="B3" s="547"/>
      <c r="C3" s="552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428"/>
      <c r="O3" s="428"/>
      <c r="P3" s="428"/>
      <c r="Q3" s="428"/>
      <c r="R3" s="428"/>
      <c r="S3" s="428"/>
      <c r="T3" s="428"/>
      <c r="U3" s="428"/>
      <c r="V3" s="428"/>
      <c r="W3" s="546"/>
      <c r="X3" s="544"/>
      <c r="Y3" s="429"/>
      <c r="Z3" s="429"/>
      <c r="AA3" s="429"/>
      <c r="AB3" s="429"/>
      <c r="AC3" s="429"/>
      <c r="AD3" s="429"/>
      <c r="AE3" s="429"/>
    </row>
    <row r="4" spans="1:31" ht="15.75" customHeight="1">
      <c r="A4" s="550"/>
      <c r="B4" s="550"/>
      <c r="C4" s="551"/>
      <c r="D4" s="551"/>
      <c r="E4" s="544"/>
      <c r="F4" s="428"/>
      <c r="G4" s="428"/>
      <c r="H4" s="428"/>
      <c r="I4" s="428"/>
      <c r="J4" s="428"/>
      <c r="K4" s="428"/>
      <c r="L4" s="428"/>
      <c r="M4" s="428"/>
      <c r="N4" s="428"/>
      <c r="O4" s="546"/>
      <c r="P4" s="546"/>
      <c r="Q4" s="546"/>
      <c r="R4" s="546"/>
      <c r="S4" s="546"/>
      <c r="T4" s="546"/>
      <c r="U4" s="546"/>
      <c r="V4" s="546"/>
      <c r="W4" s="546"/>
      <c r="X4" s="544"/>
      <c r="Y4" s="429"/>
      <c r="Z4" s="429"/>
      <c r="AA4" s="429"/>
      <c r="AB4" s="429"/>
      <c r="AC4" s="429"/>
      <c r="AD4" s="429"/>
      <c r="AE4" s="429"/>
    </row>
    <row r="5" spans="1:31" ht="15.75" customHeight="1" thickBot="1">
      <c r="A5" s="550"/>
      <c r="B5" s="549"/>
      <c r="C5" s="550"/>
      <c r="D5" s="549"/>
      <c r="E5" s="466"/>
      <c r="F5" s="428"/>
      <c r="G5" s="548"/>
      <c r="H5" s="548"/>
      <c r="I5" s="548"/>
      <c r="J5" s="547"/>
      <c r="K5" s="547"/>
      <c r="L5" s="466"/>
      <c r="M5" s="583"/>
      <c r="N5" s="584"/>
      <c r="O5" s="584"/>
      <c r="P5" s="584"/>
      <c r="Q5" s="545"/>
      <c r="R5" s="545"/>
      <c r="S5" s="583"/>
      <c r="T5" s="583"/>
      <c r="U5" s="583"/>
      <c r="V5" s="583"/>
      <c r="W5" s="545"/>
      <c r="X5" s="544"/>
      <c r="Y5" s="429"/>
      <c r="Z5" s="429"/>
      <c r="AA5" s="429"/>
      <c r="AB5" s="429"/>
      <c r="AC5" s="429"/>
      <c r="AD5" s="429"/>
      <c r="AE5" s="429"/>
    </row>
    <row r="6" spans="1:31" ht="20.25" thickBot="1">
      <c r="A6" s="585" t="s">
        <v>1429</v>
      </c>
      <c r="B6" s="585"/>
      <c r="C6" s="543" t="s">
        <v>1118</v>
      </c>
      <c r="D6" s="542" t="s">
        <v>1117</v>
      </c>
      <c r="E6" s="539"/>
      <c r="F6" s="539"/>
      <c r="G6" s="541">
        <v>9</v>
      </c>
      <c r="H6" s="541">
        <v>0</v>
      </c>
      <c r="I6" s="539"/>
      <c r="J6" s="539"/>
      <c r="K6" s="539"/>
      <c r="L6" s="539"/>
      <c r="M6" s="540">
        <v>-3</v>
      </c>
      <c r="N6" s="540">
        <v>-4</v>
      </c>
      <c r="O6" s="540">
        <v>-6</v>
      </c>
      <c r="P6" s="540"/>
      <c r="Q6" s="539"/>
      <c r="R6" s="539"/>
      <c r="S6" s="539"/>
      <c r="T6" s="539"/>
      <c r="U6" s="539"/>
      <c r="V6" s="539"/>
      <c r="W6" s="539"/>
      <c r="X6" s="429"/>
      <c r="Y6" s="429"/>
      <c r="Z6" s="429"/>
      <c r="AA6" s="429"/>
      <c r="AB6" s="429"/>
      <c r="AC6" s="429"/>
      <c r="AD6" s="429"/>
      <c r="AE6" s="429"/>
    </row>
    <row r="7" spans="1:31" ht="15.75" customHeight="1">
      <c r="A7" s="481"/>
      <c r="B7" s="481"/>
      <c r="C7" s="508"/>
      <c r="D7" s="508"/>
      <c r="E7" s="538"/>
      <c r="F7" s="475"/>
      <c r="G7" s="465"/>
      <c r="H7" s="475"/>
      <c r="I7" s="465"/>
      <c r="J7" s="475"/>
      <c r="K7" s="465"/>
      <c r="L7" s="520"/>
      <c r="M7" s="433"/>
      <c r="N7" s="433"/>
      <c r="O7" s="433"/>
      <c r="P7" s="433"/>
      <c r="Q7" s="519"/>
      <c r="R7" s="520"/>
      <c r="S7" s="519"/>
      <c r="T7" s="519"/>
      <c r="U7" s="520"/>
      <c r="V7" s="520"/>
      <c r="W7" s="519"/>
      <c r="X7" s="434"/>
      <c r="Y7" s="429"/>
      <c r="Z7" s="429"/>
      <c r="AA7" s="429"/>
      <c r="AB7" s="429"/>
      <c r="AC7" s="429"/>
      <c r="AD7" s="429"/>
      <c r="AE7" s="429"/>
    </row>
    <row r="8" spans="1:31" ht="15.75" customHeight="1">
      <c r="A8" s="451" t="s">
        <v>1428</v>
      </c>
      <c r="B8" s="481"/>
      <c r="C8" s="508" t="s">
        <v>1120</v>
      </c>
      <c r="D8" s="508"/>
      <c r="E8" s="538"/>
      <c r="F8" s="475"/>
      <c r="G8" s="465"/>
      <c r="H8" s="475"/>
      <c r="I8" s="465"/>
      <c r="J8" s="475"/>
      <c r="K8" s="465"/>
      <c r="L8" s="520"/>
      <c r="M8" s="433"/>
      <c r="N8" s="433"/>
      <c r="O8" s="433"/>
      <c r="P8" s="433"/>
      <c r="Q8" s="519"/>
      <c r="R8" s="520"/>
      <c r="S8" s="519"/>
      <c r="T8" s="519"/>
      <c r="U8" s="520"/>
      <c r="V8" s="520"/>
      <c r="W8" s="519"/>
      <c r="X8" s="434"/>
      <c r="Y8" s="429"/>
      <c r="Z8" s="429"/>
      <c r="AA8" s="429"/>
      <c r="AB8" s="429"/>
      <c r="AC8" s="429"/>
      <c r="AD8" s="429"/>
      <c r="AE8" s="429"/>
    </row>
    <row r="9" spans="1:31" ht="15.75" customHeight="1">
      <c r="A9" s="493" t="s">
        <v>1427</v>
      </c>
      <c r="B9" s="493"/>
      <c r="C9" s="533" t="s">
        <v>1121</v>
      </c>
      <c r="D9" s="533"/>
      <c r="E9" s="461">
        <v>3</v>
      </c>
      <c r="F9" s="475"/>
      <c r="G9" s="465"/>
      <c r="H9" s="475"/>
      <c r="I9" s="465"/>
      <c r="J9" s="475"/>
      <c r="K9" s="465"/>
      <c r="L9" s="520"/>
      <c r="M9" s="433"/>
      <c r="N9" s="433"/>
      <c r="O9" s="433"/>
      <c r="P9" s="433"/>
      <c r="Q9" s="519"/>
      <c r="R9" s="520"/>
      <c r="S9" s="519"/>
      <c r="T9" s="519"/>
      <c r="U9" s="520"/>
      <c r="V9" s="520"/>
      <c r="W9" s="519"/>
      <c r="X9" s="434"/>
      <c r="Y9" s="429"/>
      <c r="Z9" s="429"/>
      <c r="AA9" s="429"/>
      <c r="AB9" s="429"/>
      <c r="AC9" s="429"/>
      <c r="AD9" s="429"/>
      <c r="AE9" s="429"/>
    </row>
    <row r="10" spans="1:31" ht="15.75" customHeight="1">
      <c r="A10" s="491" t="s">
        <v>1426</v>
      </c>
      <c r="B10" s="491"/>
      <c r="C10" s="537" t="s">
        <v>1122</v>
      </c>
      <c r="D10" s="537"/>
      <c r="E10" s="452">
        <v>5</v>
      </c>
      <c r="F10" s="475"/>
      <c r="G10" s="465"/>
      <c r="H10" s="475"/>
      <c r="I10" s="465"/>
      <c r="J10" s="475"/>
      <c r="K10" s="465"/>
      <c r="L10" s="520"/>
      <c r="M10" s="433"/>
      <c r="N10" s="433"/>
      <c r="O10" s="433"/>
      <c r="P10" s="433"/>
      <c r="Q10" s="519"/>
      <c r="R10" s="520"/>
      <c r="S10" s="519"/>
      <c r="T10" s="519"/>
      <c r="U10" s="520"/>
      <c r="V10" s="520"/>
      <c r="W10" s="519"/>
      <c r="X10" s="434"/>
      <c r="Y10" s="429"/>
      <c r="Z10" s="429"/>
      <c r="AA10" s="429"/>
      <c r="AB10" s="429"/>
      <c r="AC10" s="429"/>
      <c r="AD10" s="429"/>
      <c r="AE10" s="429"/>
    </row>
    <row r="11" spans="1:31" ht="15.75" customHeight="1">
      <c r="A11" s="491" t="s">
        <v>1425</v>
      </c>
      <c r="B11" s="491"/>
      <c r="C11" s="537" t="s">
        <v>1424</v>
      </c>
      <c r="D11" s="537"/>
      <c r="E11" s="452">
        <v>8</v>
      </c>
      <c r="F11" s="475"/>
      <c r="G11" s="465"/>
      <c r="H11" s="475"/>
      <c r="I11" s="465"/>
      <c r="J11" s="475"/>
      <c r="K11" s="465"/>
      <c r="L11" s="520"/>
      <c r="M11" s="433"/>
      <c r="N11" s="433"/>
      <c r="O11" s="433"/>
      <c r="P11" s="433"/>
      <c r="Q11" s="519"/>
      <c r="R11" s="520"/>
      <c r="S11" s="519"/>
      <c r="T11" s="519"/>
      <c r="U11" s="520"/>
      <c r="V11" s="520"/>
      <c r="W11" s="519"/>
      <c r="X11" s="434"/>
      <c r="Y11" s="429"/>
      <c r="Z11" s="429"/>
      <c r="AA11" s="429"/>
      <c r="AB11" s="429"/>
      <c r="AC11" s="429"/>
      <c r="AD11" s="429"/>
      <c r="AE11" s="429"/>
    </row>
    <row r="12" spans="1:31" ht="15.75" customHeight="1">
      <c r="A12" s="440" t="s">
        <v>1423</v>
      </c>
      <c r="B12" s="440"/>
      <c r="C12" s="478" t="s">
        <v>1123</v>
      </c>
      <c r="D12" s="479"/>
      <c r="E12" s="529"/>
      <c r="F12" s="475"/>
      <c r="G12" s="465"/>
      <c r="H12" s="475"/>
      <c r="I12" s="465"/>
      <c r="J12" s="475"/>
      <c r="K12" s="465"/>
      <c r="L12" s="520"/>
      <c r="M12" s="433"/>
      <c r="N12" s="433"/>
      <c r="O12" s="433"/>
      <c r="P12" s="433"/>
      <c r="Q12" s="519"/>
      <c r="R12" s="520"/>
      <c r="S12" s="519"/>
      <c r="T12" s="519"/>
      <c r="U12" s="520"/>
      <c r="V12" s="520"/>
      <c r="W12" s="519"/>
      <c r="X12" s="434"/>
      <c r="Y12" s="429"/>
      <c r="Z12" s="429"/>
      <c r="AA12" s="429"/>
      <c r="AB12" s="429"/>
      <c r="AC12" s="429"/>
      <c r="AD12" s="429"/>
      <c r="AE12" s="429"/>
    </row>
    <row r="13" spans="1:31" s="441" customFormat="1" ht="15.75" customHeight="1">
      <c r="A13" s="440" t="s">
        <v>1422</v>
      </c>
      <c r="B13" s="440"/>
      <c r="C13" s="478" t="s">
        <v>1124</v>
      </c>
      <c r="D13" s="478"/>
      <c r="E13" s="529"/>
      <c r="F13" s="475"/>
      <c r="G13" s="465"/>
      <c r="H13" s="475"/>
      <c r="I13" s="465"/>
      <c r="J13" s="475"/>
      <c r="K13" s="465"/>
      <c r="L13" s="518"/>
      <c r="M13" s="436"/>
      <c r="N13" s="436"/>
      <c r="O13" s="436"/>
      <c r="P13" s="436"/>
      <c r="Q13" s="517"/>
      <c r="R13" s="518"/>
      <c r="S13" s="517"/>
      <c r="T13" s="517"/>
      <c r="U13" s="518"/>
      <c r="V13" s="518"/>
      <c r="W13" s="517"/>
      <c r="X13" s="437"/>
      <c r="Y13" s="442"/>
      <c r="Z13" s="442"/>
      <c r="AA13" s="442"/>
      <c r="AB13" s="442"/>
      <c r="AC13" s="442"/>
      <c r="AD13" s="442"/>
      <c r="AE13" s="442"/>
    </row>
    <row r="14" spans="1:31" ht="15.75" customHeight="1">
      <c r="A14" s="440" t="s">
        <v>1421</v>
      </c>
      <c r="B14" s="440"/>
      <c r="C14" s="478" t="s">
        <v>1125</v>
      </c>
      <c r="D14" s="479"/>
      <c r="E14" s="529"/>
      <c r="F14" s="475"/>
      <c r="G14" s="465"/>
      <c r="H14" s="475"/>
      <c r="I14" s="465"/>
      <c r="J14" s="475"/>
      <c r="K14" s="465"/>
      <c r="L14" s="520"/>
      <c r="M14" s="433"/>
      <c r="N14" s="433"/>
      <c r="O14" s="433"/>
      <c r="P14" s="433"/>
      <c r="Q14" s="519"/>
      <c r="R14" s="520"/>
      <c r="S14" s="519"/>
      <c r="T14" s="519"/>
      <c r="U14" s="520"/>
      <c r="V14" s="520"/>
      <c r="W14" s="519"/>
      <c r="X14" s="434"/>
      <c r="Y14" s="429"/>
      <c r="Z14" s="429"/>
      <c r="AA14" s="429"/>
      <c r="AB14" s="429"/>
      <c r="AC14" s="429"/>
      <c r="AD14" s="429"/>
      <c r="AE14" s="429"/>
    </row>
    <row r="15" spans="1:31" ht="15.75" customHeight="1">
      <c r="A15" s="431"/>
      <c r="B15" s="431"/>
      <c r="C15" s="479"/>
      <c r="D15" s="479"/>
      <c r="E15" s="529"/>
      <c r="F15" s="475"/>
      <c r="G15" s="465"/>
      <c r="H15" s="475"/>
      <c r="I15" s="465"/>
      <c r="J15" s="475"/>
      <c r="K15" s="465"/>
      <c r="L15" s="520"/>
      <c r="M15" s="433"/>
      <c r="N15" s="433"/>
      <c r="O15" s="433"/>
      <c r="P15" s="433"/>
      <c r="Q15" s="519"/>
      <c r="R15" s="520"/>
      <c r="S15" s="519"/>
      <c r="T15" s="519"/>
      <c r="U15" s="520"/>
      <c r="V15" s="520"/>
      <c r="W15" s="519"/>
      <c r="X15" s="434"/>
      <c r="Y15" s="429"/>
      <c r="Z15" s="429"/>
      <c r="AA15" s="429"/>
      <c r="AB15" s="429"/>
      <c r="AC15" s="429"/>
      <c r="AD15" s="429"/>
      <c r="AE15" s="429"/>
    </row>
    <row r="16" spans="1:31" ht="15.75" customHeight="1">
      <c r="A16" s="451" t="s">
        <v>1420</v>
      </c>
      <c r="B16" s="481"/>
      <c r="C16" s="508" t="s">
        <v>1126</v>
      </c>
      <c r="D16" s="508"/>
      <c r="E16" s="529"/>
      <c r="F16" s="475"/>
      <c r="G16" s="465"/>
      <c r="H16" s="475"/>
      <c r="I16" s="465"/>
      <c r="J16" s="475"/>
      <c r="K16" s="465"/>
      <c r="L16" s="520"/>
      <c r="M16" s="433"/>
      <c r="N16" s="433"/>
      <c r="O16" s="433"/>
      <c r="P16" s="433"/>
      <c r="Q16" s="519"/>
      <c r="R16" s="520"/>
      <c r="S16" s="519"/>
      <c r="T16" s="519"/>
      <c r="U16" s="520"/>
      <c r="V16" s="520"/>
      <c r="W16" s="519"/>
      <c r="X16" s="434"/>
      <c r="Y16" s="429"/>
      <c r="Z16" s="429"/>
      <c r="AA16" s="429"/>
      <c r="AB16" s="429"/>
      <c r="AC16" s="429"/>
      <c r="AD16" s="429"/>
      <c r="AE16" s="429"/>
    </row>
    <row r="17" spans="1:31" ht="15.75" customHeight="1">
      <c r="A17" s="464" t="s">
        <v>1419</v>
      </c>
      <c r="B17" s="493"/>
      <c r="C17" s="493" t="s">
        <v>1127</v>
      </c>
      <c r="D17" s="493"/>
      <c r="E17" s="528"/>
      <c r="F17" s="461">
        <v>5</v>
      </c>
      <c r="G17" s="465"/>
      <c r="H17" s="475"/>
      <c r="I17" s="465"/>
      <c r="J17" s="475"/>
      <c r="K17" s="465"/>
      <c r="L17" s="520"/>
      <c r="M17" s="433"/>
      <c r="N17" s="433"/>
      <c r="O17" s="433"/>
      <c r="P17" s="433"/>
      <c r="Q17" s="519"/>
      <c r="R17" s="520"/>
      <c r="S17" s="519"/>
      <c r="T17" s="519"/>
      <c r="U17" s="520"/>
      <c r="V17" s="520"/>
      <c r="W17" s="519"/>
      <c r="X17" s="434"/>
      <c r="Y17" s="429"/>
      <c r="Z17" s="429"/>
      <c r="AA17" s="429"/>
      <c r="AB17" s="429"/>
      <c r="AC17" s="429"/>
      <c r="AD17" s="429"/>
      <c r="AE17" s="429"/>
    </row>
    <row r="18" spans="1:31" ht="15.75" customHeight="1">
      <c r="A18" s="535" t="s">
        <v>1418</v>
      </c>
      <c r="B18" s="491"/>
      <c r="C18" s="491" t="s">
        <v>1128</v>
      </c>
      <c r="D18" s="491"/>
      <c r="E18" s="527"/>
      <c r="F18" s="452">
        <v>6</v>
      </c>
      <c r="G18" s="465"/>
      <c r="H18" s="475"/>
      <c r="I18" s="465"/>
      <c r="J18" s="475"/>
      <c r="K18" s="465"/>
      <c r="L18" s="520"/>
      <c r="M18" s="433"/>
      <c r="N18" s="433"/>
      <c r="O18" s="433"/>
      <c r="P18" s="433"/>
      <c r="Q18" s="519"/>
      <c r="R18" s="520"/>
      <c r="S18" s="519"/>
      <c r="T18" s="519"/>
      <c r="U18" s="520"/>
      <c r="V18" s="520"/>
      <c r="W18" s="519"/>
      <c r="X18" s="434"/>
      <c r="Y18" s="429"/>
      <c r="Z18" s="429"/>
      <c r="AA18" s="429"/>
      <c r="AB18" s="429"/>
      <c r="AC18" s="429"/>
      <c r="AD18" s="429"/>
      <c r="AE18" s="429"/>
    </row>
    <row r="19" spans="1:31" s="490" customFormat="1" ht="15.75" customHeight="1">
      <c r="A19" s="536" t="s">
        <v>1417</v>
      </c>
      <c r="B19" s="525"/>
      <c r="C19" s="525" t="s">
        <v>1129</v>
      </c>
      <c r="D19" s="525"/>
      <c r="E19" s="527"/>
      <c r="F19" s="452">
        <v>7</v>
      </c>
      <c r="G19" s="465"/>
      <c r="H19" s="475"/>
      <c r="I19" s="465"/>
      <c r="J19" s="475"/>
      <c r="K19" s="465"/>
      <c r="L19" s="522"/>
      <c r="M19" s="448"/>
      <c r="N19" s="448"/>
      <c r="O19" s="448"/>
      <c r="P19" s="448"/>
      <c r="Q19" s="521"/>
      <c r="R19" s="522"/>
      <c r="S19" s="521"/>
      <c r="T19" s="521"/>
      <c r="U19" s="522"/>
      <c r="V19" s="522"/>
      <c r="W19" s="521"/>
      <c r="X19" s="449"/>
      <c r="Y19" s="477"/>
      <c r="Z19" s="477"/>
      <c r="AA19" s="477"/>
      <c r="AB19" s="477"/>
      <c r="AC19" s="477"/>
      <c r="AD19" s="477"/>
      <c r="AE19" s="477"/>
    </row>
    <row r="20" spans="1:31" s="490" customFormat="1" ht="15.75" customHeight="1">
      <c r="A20" s="535" t="s">
        <v>1416</v>
      </c>
      <c r="B20" s="525"/>
      <c r="C20" s="525" t="s">
        <v>1130</v>
      </c>
      <c r="D20" s="525"/>
      <c r="E20" s="527"/>
      <c r="F20" s="452">
        <v>9</v>
      </c>
      <c r="G20" s="465"/>
      <c r="H20" s="475"/>
      <c r="I20" s="465"/>
      <c r="J20" s="475"/>
      <c r="K20" s="465"/>
      <c r="L20" s="522"/>
      <c r="M20" s="448"/>
      <c r="N20" s="448"/>
      <c r="O20" s="448"/>
      <c r="P20" s="448"/>
      <c r="Q20" s="521"/>
      <c r="R20" s="522"/>
      <c r="S20" s="521"/>
      <c r="T20" s="521"/>
      <c r="U20" s="522"/>
      <c r="V20" s="522"/>
      <c r="W20" s="521"/>
      <c r="X20" s="449"/>
      <c r="Y20" s="477"/>
      <c r="Z20" s="477"/>
      <c r="AA20" s="477"/>
      <c r="AB20" s="477"/>
      <c r="AC20" s="477"/>
      <c r="AD20" s="477"/>
      <c r="AE20" s="477"/>
    </row>
    <row r="21" spans="1:31" ht="15.75" customHeight="1" hidden="1">
      <c r="A21" s="431" t="s">
        <v>972</v>
      </c>
      <c r="B21" s="431"/>
      <c r="C21" s="431" t="s">
        <v>1127</v>
      </c>
      <c r="D21" s="431"/>
      <c r="E21" s="529"/>
      <c r="F21" s="466" t="s">
        <v>1240</v>
      </c>
      <c r="G21" s="465"/>
      <c r="H21" s="475"/>
      <c r="I21" s="465"/>
      <c r="J21" s="475"/>
      <c r="K21" s="465"/>
      <c r="L21" s="520"/>
      <c r="M21" s="433"/>
      <c r="N21" s="433"/>
      <c r="O21" s="433"/>
      <c r="P21" s="433"/>
      <c r="Q21" s="519"/>
      <c r="R21" s="520"/>
      <c r="S21" s="519"/>
      <c r="T21" s="519"/>
      <c r="U21" s="520"/>
      <c r="V21" s="520"/>
      <c r="W21" s="519"/>
      <c r="X21" s="434"/>
      <c r="Y21" s="429"/>
      <c r="Z21" s="429"/>
      <c r="AA21" s="429"/>
      <c r="AB21" s="429"/>
      <c r="AC21" s="429"/>
      <c r="AD21" s="429"/>
      <c r="AE21" s="429"/>
    </row>
    <row r="22" spans="1:31" ht="15.75" customHeight="1" hidden="1">
      <c r="A22" s="431" t="s">
        <v>973</v>
      </c>
      <c r="B22" s="431"/>
      <c r="C22" s="431" t="s">
        <v>1128</v>
      </c>
      <c r="D22" s="431"/>
      <c r="E22" s="529"/>
      <c r="F22" s="466" t="s">
        <v>16</v>
      </c>
      <c r="G22" s="465"/>
      <c r="H22" s="475"/>
      <c r="I22" s="465"/>
      <c r="J22" s="475"/>
      <c r="K22" s="465"/>
      <c r="L22" s="520"/>
      <c r="M22" s="433"/>
      <c r="N22" s="433"/>
      <c r="O22" s="433"/>
      <c r="P22" s="433"/>
      <c r="Q22" s="519"/>
      <c r="R22" s="520"/>
      <c r="S22" s="519"/>
      <c r="T22" s="519"/>
      <c r="U22" s="520"/>
      <c r="V22" s="520"/>
      <c r="W22" s="519"/>
      <c r="X22" s="434"/>
      <c r="Y22" s="429"/>
      <c r="Z22" s="429"/>
      <c r="AA22" s="429"/>
      <c r="AB22" s="429"/>
      <c r="AC22" s="429"/>
      <c r="AD22" s="429"/>
      <c r="AE22" s="429"/>
    </row>
    <row r="23" spans="1:31" s="490" customFormat="1" ht="15.75" customHeight="1" hidden="1">
      <c r="A23" s="450" t="s">
        <v>1202</v>
      </c>
      <c r="B23" s="450"/>
      <c r="C23" s="450" t="s">
        <v>1129</v>
      </c>
      <c r="D23" s="450"/>
      <c r="E23" s="529"/>
      <c r="F23" s="466" t="s">
        <v>17</v>
      </c>
      <c r="G23" s="465"/>
      <c r="H23" s="475"/>
      <c r="I23" s="465"/>
      <c r="J23" s="475"/>
      <c r="K23" s="465"/>
      <c r="L23" s="522"/>
      <c r="M23" s="448"/>
      <c r="N23" s="448"/>
      <c r="O23" s="448"/>
      <c r="P23" s="448"/>
      <c r="Q23" s="521"/>
      <c r="R23" s="522"/>
      <c r="S23" s="521"/>
      <c r="T23" s="521"/>
      <c r="U23" s="522"/>
      <c r="V23" s="522"/>
      <c r="W23" s="521"/>
      <c r="X23" s="449"/>
      <c r="Y23" s="477"/>
      <c r="Z23" s="477"/>
      <c r="AA23" s="477"/>
      <c r="AB23" s="477"/>
      <c r="AC23" s="477"/>
      <c r="AD23" s="477"/>
      <c r="AE23" s="477"/>
    </row>
    <row r="24" spans="1:31" s="490" customFormat="1" ht="15.75" customHeight="1" hidden="1">
      <c r="A24" s="450" t="s">
        <v>1203</v>
      </c>
      <c r="B24" s="450"/>
      <c r="C24" s="450" t="s">
        <v>1130</v>
      </c>
      <c r="D24" s="450"/>
      <c r="E24" s="529"/>
      <c r="F24" s="466" t="s">
        <v>39</v>
      </c>
      <c r="G24" s="465"/>
      <c r="H24" s="475"/>
      <c r="I24" s="465"/>
      <c r="J24" s="475"/>
      <c r="K24" s="465"/>
      <c r="L24" s="522"/>
      <c r="M24" s="448"/>
      <c r="N24" s="448"/>
      <c r="O24" s="448"/>
      <c r="P24" s="448"/>
      <c r="Q24" s="521"/>
      <c r="R24" s="522"/>
      <c r="S24" s="521"/>
      <c r="T24" s="521"/>
      <c r="U24" s="522"/>
      <c r="V24" s="522"/>
      <c r="W24" s="521"/>
      <c r="X24" s="449"/>
      <c r="Y24" s="477"/>
      <c r="Z24" s="477"/>
      <c r="AA24" s="477"/>
      <c r="AB24" s="477"/>
      <c r="AC24" s="477"/>
      <c r="AD24" s="477"/>
      <c r="AE24" s="477"/>
    </row>
    <row r="25" spans="1:31" ht="15.75" customHeight="1">
      <c r="A25" s="431"/>
      <c r="B25" s="431"/>
      <c r="C25" s="431"/>
      <c r="D25" s="431"/>
      <c r="E25" s="529"/>
      <c r="F25" s="466"/>
      <c r="G25" s="465"/>
      <c r="H25" s="475"/>
      <c r="I25" s="465"/>
      <c r="J25" s="475"/>
      <c r="K25" s="465"/>
      <c r="L25" s="520"/>
      <c r="M25" s="433"/>
      <c r="N25" s="433"/>
      <c r="O25" s="433"/>
      <c r="P25" s="433"/>
      <c r="Q25" s="519"/>
      <c r="R25" s="520"/>
      <c r="S25" s="519"/>
      <c r="T25" s="519"/>
      <c r="U25" s="520"/>
      <c r="V25" s="520"/>
      <c r="W25" s="519"/>
      <c r="X25" s="434"/>
      <c r="Y25" s="429"/>
      <c r="Z25" s="429"/>
      <c r="AA25" s="429"/>
      <c r="AB25" s="429"/>
      <c r="AC25" s="429"/>
      <c r="AD25" s="429"/>
      <c r="AE25" s="429"/>
    </row>
    <row r="26" spans="1:31" ht="15.75" customHeight="1">
      <c r="A26" s="451" t="s">
        <v>1415</v>
      </c>
      <c r="B26" s="481"/>
      <c r="C26" s="481" t="s">
        <v>1131</v>
      </c>
      <c r="D26" s="481"/>
      <c r="E26" s="529"/>
      <c r="F26" s="466"/>
      <c r="G26" s="465"/>
      <c r="H26" s="475"/>
      <c r="I26" s="465"/>
      <c r="J26" s="475"/>
      <c r="K26" s="465"/>
      <c r="L26" s="520"/>
      <c r="M26" s="433"/>
      <c r="N26" s="433"/>
      <c r="O26" s="433"/>
      <c r="P26" s="433"/>
      <c r="Q26" s="519"/>
      <c r="R26" s="520"/>
      <c r="S26" s="519"/>
      <c r="T26" s="519"/>
      <c r="U26" s="520"/>
      <c r="V26" s="520"/>
      <c r="W26" s="519"/>
      <c r="X26" s="434"/>
      <c r="Y26" s="429"/>
      <c r="Z26" s="429"/>
      <c r="AA26" s="429"/>
      <c r="AB26" s="429"/>
      <c r="AC26" s="429"/>
      <c r="AD26" s="429"/>
      <c r="AE26" s="429"/>
    </row>
    <row r="27" spans="1:31" ht="15.75" customHeight="1">
      <c r="A27" s="488" t="s">
        <v>1414</v>
      </c>
      <c r="B27" s="488"/>
      <c r="C27" s="488" t="s">
        <v>1413</v>
      </c>
      <c r="D27" s="488"/>
      <c r="E27" s="528"/>
      <c r="F27" s="461"/>
      <c r="G27" s="483">
        <v>9</v>
      </c>
      <c r="H27" s="475"/>
      <c r="I27" s="465"/>
      <c r="J27" s="475"/>
      <c r="K27" s="465"/>
      <c r="L27" s="520"/>
      <c r="M27" s="433"/>
      <c r="N27" s="433"/>
      <c r="O27" s="433"/>
      <c r="P27" s="433"/>
      <c r="Q27" s="519"/>
      <c r="R27" s="520"/>
      <c r="S27" s="519"/>
      <c r="T27" s="519"/>
      <c r="U27" s="520"/>
      <c r="V27" s="520"/>
      <c r="W27" s="519"/>
      <c r="X27" s="434"/>
      <c r="Y27" s="429"/>
      <c r="Z27" s="429"/>
      <c r="AA27" s="429"/>
      <c r="AB27" s="429"/>
      <c r="AC27" s="429"/>
      <c r="AD27" s="429"/>
      <c r="AE27" s="429"/>
    </row>
    <row r="28" spans="1:31" ht="15.75" customHeight="1">
      <c r="A28" s="431"/>
      <c r="B28" s="431"/>
      <c r="C28" s="431"/>
      <c r="D28" s="431"/>
      <c r="E28" s="529"/>
      <c r="F28" s="466"/>
      <c r="G28" s="466"/>
      <c r="H28" s="498"/>
      <c r="I28" s="465"/>
      <c r="J28" s="475"/>
      <c r="K28" s="465"/>
      <c r="L28" s="520"/>
      <c r="M28" s="433"/>
      <c r="N28" s="433"/>
      <c r="O28" s="433"/>
      <c r="P28" s="433"/>
      <c r="Q28" s="519"/>
      <c r="R28" s="520"/>
      <c r="S28" s="519"/>
      <c r="T28" s="519"/>
      <c r="U28" s="520"/>
      <c r="V28" s="520"/>
      <c r="W28" s="519"/>
      <c r="X28" s="434"/>
      <c r="Y28" s="429"/>
      <c r="Z28" s="429"/>
      <c r="AA28" s="429"/>
      <c r="AB28" s="429"/>
      <c r="AC28" s="429"/>
      <c r="AD28" s="429"/>
      <c r="AE28" s="429"/>
    </row>
    <row r="29" spans="1:31" ht="15.75" customHeight="1">
      <c r="A29" s="451" t="s">
        <v>1412</v>
      </c>
      <c r="B29" s="481"/>
      <c r="C29" s="481" t="s">
        <v>1132</v>
      </c>
      <c r="D29" s="481"/>
      <c r="E29" s="529"/>
      <c r="F29" s="466"/>
      <c r="G29" s="466"/>
      <c r="H29" s="466"/>
      <c r="I29" s="465"/>
      <c r="J29" s="475"/>
      <c r="K29" s="465"/>
      <c r="L29" s="520"/>
      <c r="M29" s="433"/>
      <c r="N29" s="433"/>
      <c r="O29" s="433"/>
      <c r="P29" s="433"/>
      <c r="Q29" s="519"/>
      <c r="R29" s="520"/>
      <c r="S29" s="519"/>
      <c r="T29" s="519"/>
      <c r="U29" s="520"/>
      <c r="V29" s="520"/>
      <c r="W29" s="519"/>
      <c r="X29" s="434"/>
      <c r="Y29" s="429"/>
      <c r="Z29" s="429"/>
      <c r="AA29" s="429"/>
      <c r="AB29" s="429"/>
      <c r="AC29" s="429"/>
      <c r="AD29" s="429"/>
      <c r="AE29" s="429"/>
    </row>
    <row r="30" spans="1:31" ht="15.75" customHeight="1">
      <c r="A30" s="464" t="s">
        <v>1347</v>
      </c>
      <c r="B30" s="534"/>
      <c r="C30" s="464" t="s">
        <v>1133</v>
      </c>
      <c r="D30" s="534"/>
      <c r="E30" s="528"/>
      <c r="F30" s="461"/>
      <c r="G30" s="461"/>
      <c r="H30" s="461"/>
      <c r="I30" s="461">
        <v>0</v>
      </c>
      <c r="J30" s="475"/>
      <c r="K30" s="465"/>
      <c r="L30" s="520"/>
      <c r="M30" s="433"/>
      <c r="N30" s="433"/>
      <c r="O30" s="433"/>
      <c r="P30" s="433"/>
      <c r="Q30" s="519"/>
      <c r="R30" s="520"/>
      <c r="S30" s="519"/>
      <c r="T30" s="519"/>
      <c r="U30" s="520"/>
      <c r="V30" s="520"/>
      <c r="W30" s="519"/>
      <c r="X30" s="434"/>
      <c r="Y30" s="429"/>
      <c r="Z30" s="429"/>
      <c r="AA30" s="429"/>
      <c r="AB30" s="429"/>
      <c r="AC30" s="429"/>
      <c r="AD30" s="429"/>
      <c r="AE30" s="429"/>
    </row>
    <row r="31" spans="1:31" ht="15.75" customHeight="1">
      <c r="A31" s="491" t="s">
        <v>1134</v>
      </c>
      <c r="B31" s="491"/>
      <c r="C31" s="491" t="s">
        <v>1135</v>
      </c>
      <c r="D31" s="491"/>
      <c r="E31" s="527"/>
      <c r="F31" s="452"/>
      <c r="G31" s="452"/>
      <c r="H31" s="452"/>
      <c r="I31" s="452">
        <v>4</v>
      </c>
      <c r="J31" s="475"/>
      <c r="K31" s="465"/>
      <c r="L31" s="520"/>
      <c r="M31" s="433"/>
      <c r="N31" s="433"/>
      <c r="O31" s="433"/>
      <c r="P31" s="433"/>
      <c r="Q31" s="519"/>
      <c r="R31" s="520"/>
      <c r="S31" s="519"/>
      <c r="T31" s="519"/>
      <c r="U31" s="520"/>
      <c r="V31" s="520"/>
      <c r="W31" s="519"/>
      <c r="X31" s="434"/>
      <c r="Y31" s="429"/>
      <c r="Z31" s="429"/>
      <c r="AA31" s="429"/>
      <c r="AB31" s="429"/>
      <c r="AC31" s="429"/>
      <c r="AD31" s="429"/>
      <c r="AE31" s="429"/>
    </row>
    <row r="32" spans="1:31" ht="15.75" customHeight="1">
      <c r="A32" s="456" t="s">
        <v>1411</v>
      </c>
      <c r="B32" s="456"/>
      <c r="C32" s="456" t="s">
        <v>1136</v>
      </c>
      <c r="D32" s="491"/>
      <c r="E32" s="527"/>
      <c r="F32" s="452"/>
      <c r="G32" s="452"/>
      <c r="H32" s="452"/>
      <c r="I32" s="452">
        <v>5</v>
      </c>
      <c r="J32" s="475"/>
      <c r="K32" s="465"/>
      <c r="L32" s="520"/>
      <c r="M32" s="433"/>
      <c r="N32" s="433"/>
      <c r="O32" s="433"/>
      <c r="P32" s="433"/>
      <c r="Q32" s="519"/>
      <c r="R32" s="520"/>
      <c r="S32" s="519"/>
      <c r="T32" s="519"/>
      <c r="U32" s="520"/>
      <c r="V32" s="520"/>
      <c r="W32" s="519"/>
      <c r="X32" s="434"/>
      <c r="Y32" s="429"/>
      <c r="Z32" s="429"/>
      <c r="AA32" s="429"/>
      <c r="AB32" s="429"/>
      <c r="AC32" s="429"/>
      <c r="AD32" s="429"/>
      <c r="AE32" s="429"/>
    </row>
    <row r="33" spans="1:31" ht="15.75" customHeight="1">
      <c r="A33" s="431"/>
      <c r="B33" s="431"/>
      <c r="C33" s="431"/>
      <c r="D33" s="431"/>
      <c r="E33" s="529"/>
      <c r="F33" s="466"/>
      <c r="G33" s="466"/>
      <c r="H33" s="466"/>
      <c r="I33" s="466"/>
      <c r="J33" s="475"/>
      <c r="K33" s="465"/>
      <c r="L33" s="520"/>
      <c r="M33" s="433"/>
      <c r="N33" s="433"/>
      <c r="O33" s="433"/>
      <c r="P33" s="433"/>
      <c r="Q33" s="519"/>
      <c r="R33" s="520"/>
      <c r="S33" s="519"/>
      <c r="T33" s="519"/>
      <c r="U33" s="520"/>
      <c r="V33" s="520"/>
      <c r="W33" s="519"/>
      <c r="X33" s="434"/>
      <c r="Y33" s="429"/>
      <c r="Z33" s="429"/>
      <c r="AA33" s="429"/>
      <c r="AB33" s="429"/>
      <c r="AC33" s="429"/>
      <c r="AD33" s="429"/>
      <c r="AE33" s="429"/>
    </row>
    <row r="34" spans="1:31" ht="15.75" customHeight="1">
      <c r="A34" s="451" t="s">
        <v>1410</v>
      </c>
      <c r="B34" s="481"/>
      <c r="C34" s="481" t="s">
        <v>1137</v>
      </c>
      <c r="D34" s="481"/>
      <c r="E34" s="529"/>
      <c r="F34" s="466"/>
      <c r="G34" s="466"/>
      <c r="H34" s="466"/>
      <c r="I34" s="466"/>
      <c r="J34" s="475"/>
      <c r="K34" s="465"/>
      <c r="L34" s="520"/>
      <c r="M34" s="433"/>
      <c r="N34" s="433"/>
      <c r="O34" s="433"/>
      <c r="P34" s="433"/>
      <c r="Q34" s="519"/>
      <c r="R34" s="520"/>
      <c r="S34" s="519"/>
      <c r="T34" s="519"/>
      <c r="U34" s="520"/>
      <c r="V34" s="520"/>
      <c r="W34" s="519"/>
      <c r="X34" s="434"/>
      <c r="Y34" s="429"/>
      <c r="Z34" s="429"/>
      <c r="AA34" s="429"/>
      <c r="AB34" s="429"/>
      <c r="AC34" s="429"/>
      <c r="AD34" s="429"/>
      <c r="AE34" s="429"/>
    </row>
    <row r="35" spans="1:31" ht="15.75" customHeight="1">
      <c r="A35" s="493" t="s">
        <v>1347</v>
      </c>
      <c r="B35" s="493"/>
      <c r="C35" s="533" t="s">
        <v>1133</v>
      </c>
      <c r="D35" s="533"/>
      <c r="E35" s="528"/>
      <c r="F35" s="461"/>
      <c r="G35" s="461"/>
      <c r="H35" s="461"/>
      <c r="I35" s="461"/>
      <c r="J35" s="461">
        <v>0</v>
      </c>
      <c r="K35" s="465"/>
      <c r="L35" s="520"/>
      <c r="M35" s="433"/>
      <c r="N35" s="433"/>
      <c r="O35" s="433"/>
      <c r="P35" s="433"/>
      <c r="Q35" s="519"/>
      <c r="R35" s="520"/>
      <c r="S35" s="519"/>
      <c r="T35" s="519"/>
      <c r="U35" s="520"/>
      <c r="V35" s="520"/>
      <c r="W35" s="519"/>
      <c r="X35" s="434"/>
      <c r="Y35" s="429"/>
      <c r="Z35" s="429"/>
      <c r="AA35" s="429"/>
      <c r="AB35" s="429"/>
      <c r="AC35" s="429"/>
      <c r="AD35" s="429"/>
      <c r="AE35" s="429"/>
    </row>
    <row r="36" spans="1:31" s="441" customFormat="1" ht="15.75" customHeight="1">
      <c r="A36" s="456" t="s">
        <v>1409</v>
      </c>
      <c r="B36" s="456"/>
      <c r="C36" s="511" t="s">
        <v>1138</v>
      </c>
      <c r="D36" s="511"/>
      <c r="E36" s="527"/>
      <c r="F36" s="452"/>
      <c r="G36" s="452"/>
      <c r="H36" s="452"/>
      <c r="I36" s="452"/>
      <c r="J36" s="452">
        <v>5</v>
      </c>
      <c r="K36" s="465"/>
      <c r="L36" s="518"/>
      <c r="M36" s="436"/>
      <c r="N36" s="436"/>
      <c r="O36" s="436"/>
      <c r="P36" s="436"/>
      <c r="Q36" s="517"/>
      <c r="R36" s="518"/>
      <c r="S36" s="517"/>
      <c r="T36" s="517"/>
      <c r="U36" s="518"/>
      <c r="V36" s="518"/>
      <c r="W36" s="517"/>
      <c r="X36" s="437"/>
      <c r="Y36" s="442"/>
      <c r="Z36" s="442"/>
      <c r="AA36" s="442"/>
      <c r="AB36" s="442"/>
      <c r="AC36" s="442"/>
      <c r="AD36" s="442"/>
      <c r="AE36" s="442"/>
    </row>
    <row r="37" spans="1:31" ht="15.75" customHeight="1">
      <c r="A37" s="532" t="s">
        <v>1408</v>
      </c>
      <c r="B37" s="440"/>
      <c r="C37" s="479" t="s">
        <v>1139</v>
      </c>
      <c r="D37" s="479"/>
      <c r="E37" s="529"/>
      <c r="F37" s="466"/>
      <c r="G37" s="466"/>
      <c r="H37" s="466"/>
      <c r="I37" s="466"/>
      <c r="J37" s="466"/>
      <c r="K37" s="465"/>
      <c r="L37" s="520"/>
      <c r="M37" s="433"/>
      <c r="N37" s="433"/>
      <c r="O37" s="433"/>
      <c r="P37" s="433"/>
      <c r="Q37" s="519"/>
      <c r="R37" s="520"/>
      <c r="S37" s="519"/>
      <c r="T37" s="519"/>
      <c r="U37" s="520"/>
      <c r="V37" s="520"/>
      <c r="W37" s="519"/>
      <c r="X37" s="434"/>
      <c r="Y37" s="429"/>
      <c r="Z37" s="429"/>
      <c r="AA37" s="429"/>
      <c r="AB37" s="429"/>
      <c r="AC37" s="429"/>
      <c r="AD37" s="429"/>
      <c r="AE37" s="429"/>
    </row>
    <row r="38" spans="1:31" ht="15.75" customHeight="1">
      <c r="A38" s="450"/>
      <c r="B38" s="450"/>
      <c r="C38" s="450"/>
      <c r="D38" s="450"/>
      <c r="E38" s="529"/>
      <c r="F38" s="466"/>
      <c r="G38" s="466"/>
      <c r="H38" s="466"/>
      <c r="I38" s="466"/>
      <c r="J38" s="529"/>
      <c r="K38" s="465"/>
      <c r="L38" s="522"/>
      <c r="M38" s="448"/>
      <c r="N38" s="448"/>
      <c r="O38" s="448"/>
      <c r="P38" s="448"/>
      <c r="Q38" s="521"/>
      <c r="R38" s="522"/>
      <c r="S38" s="521"/>
      <c r="T38" s="521"/>
      <c r="U38" s="522"/>
      <c r="V38" s="522"/>
      <c r="W38" s="521"/>
      <c r="X38" s="434"/>
      <c r="Y38" s="429"/>
      <c r="Z38" s="429"/>
      <c r="AA38" s="429"/>
      <c r="AB38" s="429"/>
      <c r="AC38" s="429"/>
      <c r="AD38" s="429"/>
      <c r="AE38" s="429"/>
    </row>
    <row r="39" spans="1:31" s="505" customFormat="1" ht="15.75" customHeight="1">
      <c r="A39" s="451" t="s">
        <v>1407</v>
      </c>
      <c r="B39" s="481"/>
      <c r="C39" s="481" t="s">
        <v>1140</v>
      </c>
      <c r="D39" s="481"/>
      <c r="E39" s="529"/>
      <c r="F39" s="466"/>
      <c r="G39" s="466"/>
      <c r="H39" s="466"/>
      <c r="I39" s="466"/>
      <c r="J39" s="466"/>
      <c r="K39" s="465"/>
      <c r="L39" s="531"/>
      <c r="M39" s="501"/>
      <c r="N39" s="501"/>
      <c r="O39" s="501"/>
      <c r="P39" s="501"/>
      <c r="Q39" s="530"/>
      <c r="R39" s="531"/>
      <c r="S39" s="530"/>
      <c r="T39" s="530"/>
      <c r="U39" s="531"/>
      <c r="V39" s="531"/>
      <c r="W39" s="530"/>
      <c r="X39" s="502"/>
      <c r="Y39" s="506"/>
      <c r="Z39" s="506"/>
      <c r="AA39" s="506"/>
      <c r="AB39" s="506"/>
      <c r="AC39" s="506"/>
      <c r="AD39" s="506"/>
      <c r="AE39" s="506"/>
    </row>
    <row r="40" spans="1:31" ht="15.75" customHeight="1">
      <c r="A40" s="493" t="s">
        <v>970</v>
      </c>
      <c r="B40" s="493"/>
      <c r="C40" s="488" t="s">
        <v>1141</v>
      </c>
      <c r="D40" s="488"/>
      <c r="E40" s="528"/>
      <c r="F40" s="461"/>
      <c r="G40" s="461"/>
      <c r="H40" s="461"/>
      <c r="I40" s="461"/>
      <c r="J40" s="461"/>
      <c r="K40" s="461" t="s">
        <v>1240</v>
      </c>
      <c r="L40" s="522"/>
      <c r="M40" s="448"/>
      <c r="N40" s="433"/>
      <c r="O40" s="433"/>
      <c r="P40" s="433"/>
      <c r="Q40" s="519"/>
      <c r="R40" s="520"/>
      <c r="S40" s="519"/>
      <c r="T40" s="519"/>
      <c r="U40" s="520"/>
      <c r="V40" s="520"/>
      <c r="W40" s="519"/>
      <c r="X40" s="434"/>
      <c r="Y40" s="429"/>
      <c r="Z40" s="429"/>
      <c r="AA40" s="429"/>
      <c r="AB40" s="429"/>
      <c r="AC40" s="429"/>
      <c r="AD40" s="429"/>
      <c r="AE40" s="429"/>
    </row>
    <row r="41" spans="1:31" ht="15.75" customHeight="1">
      <c r="A41" s="491" t="s">
        <v>971</v>
      </c>
      <c r="B41" s="491"/>
      <c r="C41" s="525" t="s">
        <v>1142</v>
      </c>
      <c r="D41" s="525"/>
      <c r="E41" s="527"/>
      <c r="F41" s="452"/>
      <c r="G41" s="452"/>
      <c r="H41" s="452"/>
      <c r="I41" s="452"/>
      <c r="J41" s="452"/>
      <c r="K41" s="452" t="s">
        <v>16</v>
      </c>
      <c r="L41" s="522"/>
      <c r="M41" s="448"/>
      <c r="N41" s="433"/>
      <c r="O41" s="433"/>
      <c r="P41" s="433"/>
      <c r="Q41" s="519"/>
      <c r="R41" s="520"/>
      <c r="S41" s="519"/>
      <c r="T41" s="519"/>
      <c r="U41" s="520"/>
      <c r="V41" s="520"/>
      <c r="W41" s="519"/>
      <c r="X41" s="434"/>
      <c r="Y41" s="429"/>
      <c r="Z41" s="429"/>
      <c r="AA41" s="429"/>
      <c r="AB41" s="429"/>
      <c r="AC41" s="429"/>
      <c r="AD41" s="429"/>
      <c r="AE41" s="429"/>
    </row>
    <row r="42" spans="1:31" ht="15.75" customHeight="1">
      <c r="A42" s="464" t="s">
        <v>1406</v>
      </c>
      <c r="B42" s="464"/>
      <c r="C42" s="493" t="s">
        <v>1143</v>
      </c>
      <c r="D42" s="493"/>
      <c r="E42" s="528"/>
      <c r="F42" s="461"/>
      <c r="G42" s="461"/>
      <c r="H42" s="461"/>
      <c r="I42" s="461"/>
      <c r="J42" s="461"/>
      <c r="K42" s="461" t="s">
        <v>17</v>
      </c>
      <c r="L42" s="520"/>
      <c r="M42" s="433"/>
      <c r="N42" s="433"/>
      <c r="O42" s="433"/>
      <c r="P42" s="433"/>
      <c r="Q42" s="519"/>
      <c r="R42" s="520"/>
      <c r="S42" s="519"/>
      <c r="T42" s="519"/>
      <c r="U42" s="520"/>
      <c r="V42" s="520"/>
      <c r="W42" s="519"/>
      <c r="X42" s="434"/>
      <c r="Y42" s="429"/>
      <c r="Z42" s="429"/>
      <c r="AA42" s="429"/>
      <c r="AB42" s="429"/>
      <c r="AC42" s="429"/>
      <c r="AD42" s="429"/>
      <c r="AE42" s="429"/>
    </row>
    <row r="43" spans="1:31" ht="15.75" customHeight="1">
      <c r="A43" s="456" t="s">
        <v>1405</v>
      </c>
      <c r="B43" s="456"/>
      <c r="C43" s="491" t="s">
        <v>1144</v>
      </c>
      <c r="D43" s="491"/>
      <c r="E43" s="527"/>
      <c r="F43" s="452"/>
      <c r="G43" s="452"/>
      <c r="H43" s="452"/>
      <c r="I43" s="452"/>
      <c r="J43" s="452"/>
      <c r="K43" s="452" t="s">
        <v>36</v>
      </c>
      <c r="L43" s="520"/>
      <c r="M43" s="433"/>
      <c r="N43" s="433"/>
      <c r="O43" s="433"/>
      <c r="P43" s="433"/>
      <c r="Q43" s="519"/>
      <c r="R43" s="520"/>
      <c r="S43" s="519"/>
      <c r="T43" s="519"/>
      <c r="U43" s="520"/>
      <c r="V43" s="520"/>
      <c r="W43" s="519"/>
      <c r="X43" s="434"/>
      <c r="Y43" s="429"/>
      <c r="Z43" s="429"/>
      <c r="AA43" s="429"/>
      <c r="AB43" s="429"/>
      <c r="AC43" s="429"/>
      <c r="AD43" s="429"/>
      <c r="AE43" s="429"/>
    </row>
    <row r="44" spans="1:31" s="459" customFormat="1" ht="15.75" customHeight="1">
      <c r="A44" s="456" t="s">
        <v>1404</v>
      </c>
      <c r="B44" s="456"/>
      <c r="C44" s="456" t="s">
        <v>1145</v>
      </c>
      <c r="D44" s="456"/>
      <c r="E44" s="527"/>
      <c r="F44" s="452"/>
      <c r="G44" s="452"/>
      <c r="H44" s="452"/>
      <c r="I44" s="452"/>
      <c r="J44" s="452"/>
      <c r="K44" s="452" t="s">
        <v>39</v>
      </c>
      <c r="L44" s="516"/>
      <c r="M44" s="443"/>
      <c r="N44" s="443"/>
      <c r="O44" s="443"/>
      <c r="P44" s="443"/>
      <c r="Q44" s="515"/>
      <c r="R44" s="516"/>
      <c r="S44" s="515"/>
      <c r="T44" s="515"/>
      <c r="U44" s="516"/>
      <c r="V44" s="516"/>
      <c r="W44" s="515"/>
      <c r="X44" s="444"/>
      <c r="Y44" s="460"/>
      <c r="Z44" s="460"/>
      <c r="AA44" s="460"/>
      <c r="AB44" s="460"/>
      <c r="AC44" s="460"/>
      <c r="AD44" s="460"/>
      <c r="AE44" s="460"/>
    </row>
    <row r="45" spans="1:31" s="459" customFormat="1" ht="15.75" customHeight="1">
      <c r="A45" s="456" t="s">
        <v>971</v>
      </c>
      <c r="B45" s="456"/>
      <c r="C45" s="456" t="s">
        <v>1142</v>
      </c>
      <c r="D45" s="456"/>
      <c r="E45" s="527"/>
      <c r="F45" s="452"/>
      <c r="G45" s="452"/>
      <c r="H45" s="452"/>
      <c r="I45" s="452"/>
      <c r="J45" s="452"/>
      <c r="K45" s="452" t="s">
        <v>45</v>
      </c>
      <c r="L45" s="516"/>
      <c r="M45" s="443"/>
      <c r="N45" s="443"/>
      <c r="O45" s="443"/>
      <c r="P45" s="443"/>
      <c r="Q45" s="515"/>
      <c r="R45" s="516"/>
      <c r="S45" s="515"/>
      <c r="T45" s="515"/>
      <c r="U45" s="516"/>
      <c r="V45" s="516"/>
      <c r="W45" s="515"/>
      <c r="X45" s="444"/>
      <c r="Y45" s="460"/>
      <c r="Z45" s="460"/>
      <c r="AA45" s="460"/>
      <c r="AB45" s="460"/>
      <c r="AC45" s="460"/>
      <c r="AD45" s="460"/>
      <c r="AE45" s="460"/>
    </row>
    <row r="46" spans="1:31" s="459" customFormat="1" ht="15.75" customHeight="1">
      <c r="A46" s="440" t="s">
        <v>1403</v>
      </c>
      <c r="B46" s="440"/>
      <c r="C46" s="440" t="s">
        <v>1146</v>
      </c>
      <c r="D46" s="440"/>
      <c r="E46" s="529"/>
      <c r="F46" s="466"/>
      <c r="G46" s="466"/>
      <c r="H46" s="466"/>
      <c r="I46" s="466"/>
      <c r="J46" s="466"/>
      <c r="K46" s="465"/>
      <c r="L46" s="516"/>
      <c r="M46" s="443"/>
      <c r="N46" s="443"/>
      <c r="O46" s="443"/>
      <c r="P46" s="443"/>
      <c r="Q46" s="515"/>
      <c r="R46" s="516"/>
      <c r="S46" s="515"/>
      <c r="T46" s="515"/>
      <c r="U46" s="516"/>
      <c r="V46" s="516"/>
      <c r="W46" s="515"/>
      <c r="X46" s="444"/>
      <c r="Y46" s="460"/>
      <c r="Z46" s="460"/>
      <c r="AA46" s="460"/>
      <c r="AB46" s="460"/>
      <c r="AC46" s="460"/>
      <c r="AD46" s="460"/>
      <c r="AE46" s="460"/>
    </row>
    <row r="47" spans="1:31" s="459" customFormat="1" ht="15.75" customHeight="1">
      <c r="A47" s="464" t="s">
        <v>1402</v>
      </c>
      <c r="B47" s="464"/>
      <c r="C47" s="464" t="s">
        <v>1147</v>
      </c>
      <c r="D47" s="464"/>
      <c r="E47" s="528"/>
      <c r="F47" s="461"/>
      <c r="G47" s="461"/>
      <c r="H47" s="461"/>
      <c r="I47" s="461"/>
      <c r="J47" s="461"/>
      <c r="K47" s="461" t="s">
        <v>46</v>
      </c>
      <c r="L47" s="516"/>
      <c r="M47" s="443"/>
      <c r="N47" s="443"/>
      <c r="O47" s="443"/>
      <c r="P47" s="443"/>
      <c r="Q47" s="515"/>
      <c r="R47" s="516"/>
      <c r="S47" s="515"/>
      <c r="T47" s="515"/>
      <c r="U47" s="516"/>
      <c r="V47" s="516"/>
      <c r="W47" s="515"/>
      <c r="X47" s="444"/>
      <c r="Y47" s="460"/>
      <c r="Z47" s="460"/>
      <c r="AA47" s="460"/>
      <c r="AB47" s="460"/>
      <c r="AC47" s="460"/>
      <c r="AD47" s="460"/>
      <c r="AE47" s="460"/>
    </row>
    <row r="48" spans="1:31" s="459" customFormat="1" ht="15.75" customHeight="1">
      <c r="A48" s="456" t="s">
        <v>1401</v>
      </c>
      <c r="B48" s="456"/>
      <c r="C48" s="511" t="s">
        <v>1148</v>
      </c>
      <c r="D48" s="511"/>
      <c r="E48" s="527"/>
      <c r="F48" s="452"/>
      <c r="G48" s="452"/>
      <c r="H48" s="452"/>
      <c r="I48" s="452"/>
      <c r="J48" s="452"/>
      <c r="K48" s="452" t="s">
        <v>48</v>
      </c>
      <c r="L48" s="516"/>
      <c r="M48" s="443"/>
      <c r="N48" s="443"/>
      <c r="O48" s="443"/>
      <c r="P48" s="443"/>
      <c r="Q48" s="515"/>
      <c r="R48" s="516"/>
      <c r="S48" s="515"/>
      <c r="T48" s="515"/>
      <c r="U48" s="516"/>
      <c r="V48" s="516"/>
      <c r="W48" s="515"/>
      <c r="X48" s="444"/>
      <c r="Y48" s="460"/>
      <c r="Z48" s="460"/>
      <c r="AA48" s="460"/>
      <c r="AB48" s="460"/>
      <c r="AC48" s="460"/>
      <c r="AD48" s="460"/>
      <c r="AE48" s="460"/>
    </row>
    <row r="49" spans="1:31" ht="15.75" customHeight="1">
      <c r="A49" s="431"/>
      <c r="B49" s="431"/>
      <c r="C49" s="479"/>
      <c r="D49" s="479"/>
      <c r="E49" s="434"/>
      <c r="F49" s="433"/>
      <c r="G49" s="433"/>
      <c r="H49" s="433"/>
      <c r="I49" s="433"/>
      <c r="J49" s="433"/>
      <c r="K49" s="433"/>
      <c r="L49" s="520"/>
      <c r="M49" s="433"/>
      <c r="N49" s="433"/>
      <c r="O49" s="433"/>
      <c r="P49" s="433"/>
      <c r="Q49" s="519"/>
      <c r="R49" s="520"/>
      <c r="S49" s="519"/>
      <c r="T49" s="519"/>
      <c r="U49" s="520"/>
      <c r="V49" s="520"/>
      <c r="W49" s="519"/>
      <c r="X49" s="434"/>
      <c r="Y49" s="429"/>
      <c r="Z49" s="429"/>
      <c r="AA49" s="429"/>
      <c r="AB49" s="429"/>
      <c r="AC49" s="429"/>
      <c r="AD49" s="429"/>
      <c r="AE49" s="429"/>
    </row>
    <row r="50" spans="1:31" ht="15.75" customHeight="1">
      <c r="A50" s="451" t="s">
        <v>1400</v>
      </c>
      <c r="B50" s="481"/>
      <c r="C50" s="508" t="s">
        <v>1149</v>
      </c>
      <c r="D50" s="508"/>
      <c r="E50" s="434"/>
      <c r="F50" s="433"/>
      <c r="G50" s="433"/>
      <c r="H50" s="433"/>
      <c r="I50" s="433"/>
      <c r="J50" s="433"/>
      <c r="K50" s="433"/>
      <c r="L50" s="520"/>
      <c r="M50" s="433"/>
      <c r="N50" s="433"/>
      <c r="O50" s="433"/>
      <c r="P50" s="433"/>
      <c r="Q50" s="519"/>
      <c r="R50" s="520"/>
      <c r="S50" s="519"/>
      <c r="T50" s="519"/>
      <c r="U50" s="520"/>
      <c r="V50" s="520"/>
      <c r="W50" s="519"/>
      <c r="X50" s="434"/>
      <c r="Y50" s="429"/>
      <c r="Z50" s="429"/>
      <c r="AA50" s="429"/>
      <c r="AB50" s="429"/>
      <c r="AC50" s="429"/>
      <c r="AD50" s="429"/>
      <c r="AE50" s="429"/>
    </row>
    <row r="51" spans="1:31" ht="15.75" customHeight="1">
      <c r="A51" s="493" t="s">
        <v>1347</v>
      </c>
      <c r="B51" s="493"/>
      <c r="C51" s="493" t="s">
        <v>1133</v>
      </c>
      <c r="D51" s="493"/>
      <c r="E51" s="526"/>
      <c r="F51" s="507"/>
      <c r="G51" s="507"/>
      <c r="H51" s="507"/>
      <c r="I51" s="507"/>
      <c r="J51" s="507"/>
      <c r="K51" s="507"/>
      <c r="L51" s="461">
        <v>0</v>
      </c>
      <c r="M51" s="433"/>
      <c r="N51" s="433"/>
      <c r="O51" s="433"/>
      <c r="P51" s="433"/>
      <c r="Q51" s="519"/>
      <c r="R51" s="520"/>
      <c r="S51" s="519"/>
      <c r="T51" s="519"/>
      <c r="U51" s="520"/>
      <c r="V51" s="520"/>
      <c r="W51" s="519"/>
      <c r="X51" s="434"/>
      <c r="Y51" s="429"/>
      <c r="Z51" s="429"/>
      <c r="AA51" s="429"/>
      <c r="AB51" s="429"/>
      <c r="AC51" s="429"/>
      <c r="AD51" s="429"/>
      <c r="AE51" s="429"/>
    </row>
    <row r="52" spans="1:31" s="490" customFormat="1" ht="15.75" customHeight="1">
      <c r="A52" s="456" t="s">
        <v>1399</v>
      </c>
      <c r="B52" s="456"/>
      <c r="C52" s="456" t="s">
        <v>1398</v>
      </c>
      <c r="D52" s="525"/>
      <c r="E52" s="524"/>
      <c r="F52" s="523"/>
      <c r="G52" s="523"/>
      <c r="H52" s="523"/>
      <c r="I52" s="523"/>
      <c r="J52" s="523"/>
      <c r="K52" s="523"/>
      <c r="L52" s="452">
        <v>1</v>
      </c>
      <c r="M52" s="448"/>
      <c r="N52" s="448"/>
      <c r="O52" s="448"/>
      <c r="P52" s="448"/>
      <c r="Q52" s="521"/>
      <c r="R52" s="522"/>
      <c r="S52" s="521"/>
      <c r="T52" s="521"/>
      <c r="U52" s="522"/>
      <c r="V52" s="522"/>
      <c r="W52" s="521"/>
      <c r="X52" s="449"/>
      <c r="Y52" s="477"/>
      <c r="Z52" s="477"/>
      <c r="AA52" s="477"/>
      <c r="AB52" s="477"/>
      <c r="AC52" s="477"/>
      <c r="AD52" s="477"/>
      <c r="AE52" s="477"/>
    </row>
    <row r="53" spans="1:31" s="490" customFormat="1" ht="15.75" customHeight="1">
      <c r="A53" s="456" t="s">
        <v>1397</v>
      </c>
      <c r="B53" s="456"/>
      <c r="C53" s="456" t="s">
        <v>1150</v>
      </c>
      <c r="D53" s="525"/>
      <c r="E53" s="524"/>
      <c r="F53" s="523"/>
      <c r="G53" s="523"/>
      <c r="H53" s="523"/>
      <c r="I53" s="523"/>
      <c r="J53" s="523"/>
      <c r="K53" s="523"/>
      <c r="L53" s="452">
        <v>2</v>
      </c>
      <c r="M53" s="448"/>
      <c r="N53" s="448"/>
      <c r="O53" s="448"/>
      <c r="P53" s="448"/>
      <c r="Q53" s="521"/>
      <c r="R53" s="522"/>
      <c r="S53" s="521"/>
      <c r="T53" s="521"/>
      <c r="U53" s="522"/>
      <c r="V53" s="522"/>
      <c r="W53" s="521"/>
      <c r="X53" s="449"/>
      <c r="Y53" s="477"/>
      <c r="Z53" s="477"/>
      <c r="AA53" s="477"/>
      <c r="AB53" s="477"/>
      <c r="AC53" s="477"/>
      <c r="AD53" s="477"/>
      <c r="AE53" s="477"/>
    </row>
    <row r="54" spans="1:31" s="490" customFormat="1" ht="15.75" customHeight="1">
      <c r="A54" s="456" t="s">
        <v>1396</v>
      </c>
      <c r="B54" s="456"/>
      <c r="C54" s="456" t="s">
        <v>1395</v>
      </c>
      <c r="D54" s="525"/>
      <c r="E54" s="524"/>
      <c r="F54" s="523"/>
      <c r="G54" s="523"/>
      <c r="H54" s="523"/>
      <c r="I54" s="523"/>
      <c r="J54" s="523"/>
      <c r="K54" s="523"/>
      <c r="L54" s="452">
        <v>3</v>
      </c>
      <c r="M54" s="448"/>
      <c r="N54" s="448"/>
      <c r="O54" s="448"/>
      <c r="P54" s="448"/>
      <c r="Q54" s="521"/>
      <c r="R54" s="522"/>
      <c r="S54" s="521"/>
      <c r="T54" s="521"/>
      <c r="U54" s="522"/>
      <c r="V54" s="522"/>
      <c r="W54" s="521"/>
      <c r="X54" s="449"/>
      <c r="Y54" s="477"/>
      <c r="Z54" s="477"/>
      <c r="AA54" s="477"/>
      <c r="AB54" s="477"/>
      <c r="AC54" s="477"/>
      <c r="AD54" s="477"/>
      <c r="AE54" s="477"/>
    </row>
    <row r="55" spans="1:31" s="490" customFormat="1" ht="15.75" customHeight="1">
      <c r="A55" s="456" t="s">
        <v>1394</v>
      </c>
      <c r="B55" s="456"/>
      <c r="C55" s="456" t="s">
        <v>1151</v>
      </c>
      <c r="D55" s="525"/>
      <c r="E55" s="524"/>
      <c r="F55" s="523"/>
      <c r="G55" s="523"/>
      <c r="H55" s="523"/>
      <c r="I55" s="523"/>
      <c r="J55" s="523"/>
      <c r="K55" s="523"/>
      <c r="L55" s="452">
        <v>4</v>
      </c>
      <c r="M55" s="448"/>
      <c r="N55" s="448"/>
      <c r="O55" s="448"/>
      <c r="P55" s="448"/>
      <c r="Q55" s="521"/>
      <c r="R55" s="522"/>
      <c r="S55" s="521"/>
      <c r="T55" s="521"/>
      <c r="U55" s="522"/>
      <c r="V55" s="522"/>
      <c r="W55" s="521"/>
      <c r="X55" s="449"/>
      <c r="Y55" s="477"/>
      <c r="Z55" s="477"/>
      <c r="AA55" s="477"/>
      <c r="AB55" s="477"/>
      <c r="AC55" s="477"/>
      <c r="AD55" s="477"/>
      <c r="AE55" s="477"/>
    </row>
    <row r="56" spans="1:31" s="490" customFormat="1" ht="15.75" customHeight="1">
      <c r="A56" s="456" t="s">
        <v>1393</v>
      </c>
      <c r="B56" s="456"/>
      <c r="C56" s="456" t="s">
        <v>1392</v>
      </c>
      <c r="D56" s="525"/>
      <c r="E56" s="524"/>
      <c r="F56" s="523"/>
      <c r="G56" s="523"/>
      <c r="H56" s="523"/>
      <c r="I56" s="523"/>
      <c r="J56" s="523"/>
      <c r="K56" s="523"/>
      <c r="L56" s="452">
        <v>5</v>
      </c>
      <c r="M56" s="448"/>
      <c r="N56" s="448"/>
      <c r="O56" s="448"/>
      <c r="P56" s="448"/>
      <c r="Q56" s="521"/>
      <c r="R56" s="522"/>
      <c r="S56" s="521"/>
      <c r="T56" s="521"/>
      <c r="U56" s="522"/>
      <c r="V56" s="522"/>
      <c r="W56" s="521"/>
      <c r="X56" s="449"/>
      <c r="Y56" s="477"/>
      <c r="Z56" s="477"/>
      <c r="AA56" s="477"/>
      <c r="AB56" s="477"/>
      <c r="AC56" s="477"/>
      <c r="AD56" s="477"/>
      <c r="AE56" s="477"/>
    </row>
    <row r="57" spans="1:31" s="459" customFormat="1" ht="15.75" customHeight="1">
      <c r="A57" s="456" t="s">
        <v>1391</v>
      </c>
      <c r="B57" s="456"/>
      <c r="C57" s="456" t="s">
        <v>1390</v>
      </c>
      <c r="D57" s="456"/>
      <c r="E57" s="458"/>
      <c r="F57" s="457"/>
      <c r="G57" s="457"/>
      <c r="H57" s="457"/>
      <c r="I57" s="457"/>
      <c r="J57" s="457"/>
      <c r="K57" s="457"/>
      <c r="L57" s="452">
        <v>7</v>
      </c>
      <c r="M57" s="443"/>
      <c r="N57" s="443"/>
      <c r="O57" s="443"/>
      <c r="P57" s="443"/>
      <c r="Q57" s="515"/>
      <c r="R57" s="516"/>
      <c r="S57" s="515"/>
      <c r="T57" s="515"/>
      <c r="U57" s="516"/>
      <c r="V57" s="516"/>
      <c r="W57" s="515"/>
      <c r="X57" s="444"/>
      <c r="Y57" s="460"/>
      <c r="Z57" s="460"/>
      <c r="AA57" s="460"/>
      <c r="AB57" s="460"/>
      <c r="AC57" s="460"/>
      <c r="AD57" s="460"/>
      <c r="AE57" s="460"/>
    </row>
    <row r="58" spans="1:31" s="459" customFormat="1" ht="15.75" customHeight="1">
      <c r="A58" s="456" t="s">
        <v>1389</v>
      </c>
      <c r="B58" s="456"/>
      <c r="C58" s="456" t="s">
        <v>1386</v>
      </c>
      <c r="D58" s="456"/>
      <c r="E58" s="458"/>
      <c r="F58" s="457"/>
      <c r="G58" s="457"/>
      <c r="H58" s="457"/>
      <c r="I58" s="457"/>
      <c r="J58" s="457"/>
      <c r="K58" s="457"/>
      <c r="L58" s="452">
        <v>8</v>
      </c>
      <c r="M58" s="443"/>
      <c r="N58" s="443"/>
      <c r="O58" s="443"/>
      <c r="P58" s="443"/>
      <c r="Q58" s="515"/>
      <c r="R58" s="516"/>
      <c r="S58" s="515"/>
      <c r="T58" s="515"/>
      <c r="U58" s="516"/>
      <c r="V58" s="516"/>
      <c r="W58" s="515"/>
      <c r="X58" s="444"/>
      <c r="Y58" s="460"/>
      <c r="Z58" s="460"/>
      <c r="AA58" s="460"/>
      <c r="AB58" s="460"/>
      <c r="AC58" s="460"/>
      <c r="AD58" s="460"/>
      <c r="AE58" s="460"/>
    </row>
    <row r="59" spans="1:31" s="459" customFormat="1" ht="15.75" customHeight="1">
      <c r="A59" s="456" t="s">
        <v>1388</v>
      </c>
      <c r="B59" s="456"/>
      <c r="C59" s="456" t="s">
        <v>1384</v>
      </c>
      <c r="D59" s="456"/>
      <c r="E59" s="458"/>
      <c r="F59" s="457"/>
      <c r="G59" s="457"/>
      <c r="H59" s="457"/>
      <c r="I59" s="457"/>
      <c r="J59" s="457"/>
      <c r="K59" s="457"/>
      <c r="L59" s="452">
        <v>9</v>
      </c>
      <c r="M59" s="443"/>
      <c r="N59" s="443"/>
      <c r="O59" s="443"/>
      <c r="P59" s="443"/>
      <c r="Q59" s="515"/>
      <c r="R59" s="516"/>
      <c r="S59" s="515"/>
      <c r="T59" s="515"/>
      <c r="U59" s="516"/>
      <c r="V59" s="516"/>
      <c r="W59" s="515"/>
      <c r="X59" s="444"/>
      <c r="Y59" s="460"/>
      <c r="Z59" s="460"/>
      <c r="AA59" s="460"/>
      <c r="AB59" s="460"/>
      <c r="AC59" s="460"/>
      <c r="AD59" s="460"/>
      <c r="AE59" s="460"/>
    </row>
    <row r="60" spans="1:31" ht="15.75" customHeight="1">
      <c r="A60" s="456" t="s">
        <v>1387</v>
      </c>
      <c r="B60" s="456"/>
      <c r="C60" s="456" t="s">
        <v>1386</v>
      </c>
      <c r="D60" s="456"/>
      <c r="E60" s="458"/>
      <c r="F60" s="457"/>
      <c r="G60" s="457"/>
      <c r="H60" s="457"/>
      <c r="I60" s="457"/>
      <c r="J60" s="457"/>
      <c r="K60" s="457"/>
      <c r="L60" s="452" t="s">
        <v>1091</v>
      </c>
      <c r="M60" s="443"/>
      <c r="N60" s="443"/>
      <c r="O60" s="443"/>
      <c r="P60" s="443"/>
      <c r="Q60" s="515"/>
      <c r="R60" s="516"/>
      <c r="S60" s="515"/>
      <c r="T60" s="515"/>
      <c r="U60" s="516"/>
      <c r="V60" s="516"/>
      <c r="W60" s="515"/>
      <c r="X60" s="434"/>
      <c r="Y60" s="429"/>
      <c r="Z60" s="429"/>
      <c r="AA60" s="429"/>
      <c r="AB60" s="429"/>
      <c r="AC60" s="429"/>
      <c r="AD60" s="429"/>
      <c r="AE60" s="429"/>
    </row>
    <row r="61" spans="1:31" s="441" customFormat="1" ht="15.75" customHeight="1">
      <c r="A61" s="456" t="s">
        <v>1385</v>
      </c>
      <c r="B61" s="456"/>
      <c r="C61" s="456" t="s">
        <v>1384</v>
      </c>
      <c r="D61" s="456"/>
      <c r="E61" s="458"/>
      <c r="F61" s="457"/>
      <c r="G61" s="457"/>
      <c r="H61" s="457"/>
      <c r="I61" s="457"/>
      <c r="J61" s="457"/>
      <c r="K61" s="457"/>
      <c r="L61" s="452" t="s">
        <v>1093</v>
      </c>
      <c r="M61" s="443"/>
      <c r="N61" s="443"/>
      <c r="O61" s="443"/>
      <c r="P61" s="443"/>
      <c r="Q61" s="515"/>
      <c r="R61" s="516"/>
      <c r="S61" s="515"/>
      <c r="T61" s="515"/>
      <c r="U61" s="516"/>
      <c r="V61" s="516"/>
      <c r="W61" s="515"/>
      <c r="X61" s="437"/>
      <c r="Y61" s="442"/>
      <c r="Z61" s="442"/>
      <c r="AA61" s="442"/>
      <c r="AB61" s="442"/>
      <c r="AC61" s="442"/>
      <c r="AD61" s="442"/>
      <c r="AE61" s="442"/>
    </row>
    <row r="62" spans="1:31" s="441" customFormat="1" ht="15.75" customHeight="1">
      <c r="A62" s="456" t="s">
        <v>1650</v>
      </c>
      <c r="B62" s="456"/>
      <c r="C62" s="456" t="s">
        <v>1384</v>
      </c>
      <c r="D62" s="456"/>
      <c r="E62" s="458"/>
      <c r="F62" s="457"/>
      <c r="G62" s="457"/>
      <c r="H62" s="457"/>
      <c r="I62" s="457"/>
      <c r="J62" s="457"/>
      <c r="K62" s="457"/>
      <c r="L62" s="452" t="s">
        <v>1094</v>
      </c>
      <c r="M62" s="443"/>
      <c r="N62" s="443"/>
      <c r="O62" s="443"/>
      <c r="P62" s="443"/>
      <c r="Q62" s="515"/>
      <c r="R62" s="516"/>
      <c r="S62" s="515"/>
      <c r="T62" s="515"/>
      <c r="U62" s="516"/>
      <c r="V62" s="516"/>
      <c r="W62" s="515"/>
      <c r="X62" s="437"/>
      <c r="Y62" s="442"/>
      <c r="Z62" s="442"/>
      <c r="AA62" s="442"/>
      <c r="AB62" s="442"/>
      <c r="AC62" s="442"/>
      <c r="AD62" s="442"/>
      <c r="AE62" s="442"/>
    </row>
    <row r="63" spans="1:31" s="441" customFormat="1" ht="15.75" customHeight="1">
      <c r="A63" s="456" t="s">
        <v>1651</v>
      </c>
      <c r="B63" s="456"/>
      <c r="C63" s="456" t="s">
        <v>1384</v>
      </c>
      <c r="D63" s="456"/>
      <c r="E63" s="458"/>
      <c r="F63" s="457"/>
      <c r="G63" s="457"/>
      <c r="H63" s="457"/>
      <c r="I63" s="457"/>
      <c r="J63" s="457"/>
      <c r="K63" s="457"/>
      <c r="L63" s="452" t="s">
        <v>1096</v>
      </c>
      <c r="M63" s="443"/>
      <c r="N63" s="443"/>
      <c r="O63" s="443"/>
      <c r="P63" s="443"/>
      <c r="Q63" s="515"/>
      <c r="R63" s="516"/>
      <c r="S63" s="515"/>
      <c r="T63" s="515"/>
      <c r="U63" s="516"/>
      <c r="V63" s="516"/>
      <c r="W63" s="515"/>
      <c r="X63" s="437"/>
      <c r="Y63" s="442"/>
      <c r="Z63" s="442"/>
      <c r="AA63" s="442"/>
      <c r="AB63" s="442"/>
      <c r="AC63" s="442"/>
      <c r="AD63" s="442"/>
      <c r="AE63" s="442"/>
    </row>
    <row r="64" spans="1:31" s="441" customFormat="1" ht="15.75" customHeight="1">
      <c r="A64" s="456" t="s">
        <v>1652</v>
      </c>
      <c r="B64" s="456"/>
      <c r="C64" s="456" t="s">
        <v>1384</v>
      </c>
      <c r="D64" s="456"/>
      <c r="E64" s="458"/>
      <c r="F64" s="457"/>
      <c r="G64" s="457"/>
      <c r="H64" s="457"/>
      <c r="I64" s="457"/>
      <c r="J64" s="457"/>
      <c r="K64" s="457"/>
      <c r="L64" s="452" t="s">
        <v>1240</v>
      </c>
      <c r="M64" s="443"/>
      <c r="N64" s="443"/>
      <c r="O64" s="443"/>
      <c r="P64" s="443"/>
      <c r="Q64" s="515"/>
      <c r="R64" s="516"/>
      <c r="S64" s="515"/>
      <c r="T64" s="515"/>
      <c r="U64" s="516"/>
      <c r="V64" s="516"/>
      <c r="W64" s="515"/>
      <c r="X64" s="437"/>
      <c r="Y64" s="442"/>
      <c r="Z64" s="442"/>
      <c r="AA64" s="442"/>
      <c r="AB64" s="442"/>
      <c r="AC64" s="442"/>
      <c r="AD64" s="442"/>
      <c r="AE64" s="442"/>
    </row>
    <row r="65" spans="1:31" s="441" customFormat="1" ht="15.75" customHeight="1">
      <c r="A65" s="456" t="s">
        <v>1653</v>
      </c>
      <c r="B65" s="456"/>
      <c r="C65" s="456" t="s">
        <v>1384</v>
      </c>
      <c r="D65" s="456"/>
      <c r="E65" s="458"/>
      <c r="F65" s="457"/>
      <c r="G65" s="457"/>
      <c r="H65" s="457"/>
      <c r="I65" s="457"/>
      <c r="J65" s="457"/>
      <c r="K65" s="457"/>
      <c r="L65" s="452" t="s">
        <v>16</v>
      </c>
      <c r="M65" s="443"/>
      <c r="N65" s="443"/>
      <c r="O65" s="443"/>
      <c r="P65" s="443"/>
      <c r="Q65" s="515"/>
      <c r="R65" s="516"/>
      <c r="S65" s="515"/>
      <c r="T65" s="515"/>
      <c r="U65" s="516"/>
      <c r="V65" s="516"/>
      <c r="W65" s="515"/>
      <c r="X65" s="437"/>
      <c r="Y65" s="442"/>
      <c r="Z65" s="442"/>
      <c r="AA65" s="442"/>
      <c r="AB65" s="442"/>
      <c r="AC65" s="442"/>
      <c r="AD65" s="442"/>
      <c r="AE65" s="442"/>
    </row>
    <row r="66" spans="1:31" s="441" customFormat="1" ht="15.75" customHeight="1">
      <c r="A66" s="456" t="s">
        <v>1654</v>
      </c>
      <c r="B66" s="456"/>
      <c r="C66" s="456" t="s">
        <v>1384</v>
      </c>
      <c r="D66" s="456"/>
      <c r="E66" s="458"/>
      <c r="F66" s="457"/>
      <c r="G66" s="457"/>
      <c r="H66" s="457"/>
      <c r="I66" s="457"/>
      <c r="J66" s="457"/>
      <c r="K66" s="457"/>
      <c r="L66" s="452" t="s">
        <v>17</v>
      </c>
      <c r="M66" s="443"/>
      <c r="N66" s="443"/>
      <c r="O66" s="443"/>
      <c r="P66" s="443"/>
      <c r="Q66" s="515"/>
      <c r="R66" s="516"/>
      <c r="S66" s="515"/>
      <c r="T66" s="515"/>
      <c r="U66" s="516"/>
      <c r="V66" s="516"/>
      <c r="W66" s="515"/>
      <c r="X66" s="437"/>
      <c r="Y66" s="442"/>
      <c r="Z66" s="442"/>
      <c r="AA66" s="442"/>
      <c r="AB66" s="442"/>
      <c r="AC66" s="442"/>
      <c r="AD66" s="442"/>
      <c r="AE66" s="442"/>
    </row>
    <row r="67" spans="1:31" s="459" customFormat="1" ht="15.75" customHeight="1">
      <c r="A67" s="431"/>
      <c r="B67" s="431"/>
      <c r="C67" s="431"/>
      <c r="D67" s="431"/>
      <c r="E67" s="434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519"/>
      <c r="R67" s="520"/>
      <c r="S67" s="519"/>
      <c r="T67" s="519"/>
      <c r="U67" s="520"/>
      <c r="V67" s="520"/>
      <c r="W67" s="519"/>
      <c r="X67" s="444"/>
      <c r="Y67" s="460"/>
      <c r="Z67" s="460"/>
      <c r="AA67" s="460"/>
      <c r="AB67" s="460"/>
      <c r="AC67" s="460"/>
      <c r="AD67" s="460"/>
      <c r="AE67" s="460"/>
    </row>
    <row r="68" spans="1:31" s="441" customFormat="1" ht="15.75" customHeight="1">
      <c r="A68" s="451" t="s">
        <v>1383</v>
      </c>
      <c r="B68" s="481"/>
      <c r="C68" s="481" t="s">
        <v>1382</v>
      </c>
      <c r="D68" s="481"/>
      <c r="E68" s="444"/>
      <c r="F68" s="443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517"/>
      <c r="R68" s="518"/>
      <c r="S68" s="517"/>
      <c r="T68" s="517"/>
      <c r="U68" s="518"/>
      <c r="V68" s="518"/>
      <c r="W68" s="517"/>
      <c r="X68" s="437"/>
      <c r="Y68" s="442"/>
      <c r="Z68" s="442"/>
      <c r="AA68" s="442"/>
      <c r="AB68" s="442"/>
      <c r="AC68" s="442"/>
      <c r="AD68" s="442"/>
      <c r="AE68" s="442"/>
    </row>
    <row r="69" spans="1:31" s="441" customFormat="1" ht="15.75" customHeight="1">
      <c r="A69" s="440" t="s">
        <v>1381</v>
      </c>
      <c r="B69" s="440"/>
      <c r="C69" s="440" t="s">
        <v>1152</v>
      </c>
      <c r="D69" s="440"/>
      <c r="E69" s="444" t="s">
        <v>1339</v>
      </c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515"/>
      <c r="R69" s="516"/>
      <c r="S69" s="515"/>
      <c r="T69" s="515"/>
      <c r="U69" s="516"/>
      <c r="V69" s="516"/>
      <c r="W69" s="515"/>
      <c r="X69" s="437"/>
      <c r="Y69" s="442"/>
      <c r="Z69" s="442"/>
      <c r="AA69" s="442"/>
      <c r="AB69" s="442"/>
      <c r="AC69" s="442"/>
      <c r="AD69" s="442"/>
      <c r="AE69" s="442"/>
    </row>
    <row r="70" spans="1:31" s="505" customFormat="1" ht="15.75" customHeight="1">
      <c r="A70" s="464" t="s">
        <v>1380</v>
      </c>
      <c r="B70" s="464"/>
      <c r="C70" s="482" t="s">
        <v>1153</v>
      </c>
      <c r="D70" s="482"/>
      <c r="E70" s="514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2" t="s">
        <v>689</v>
      </c>
      <c r="R70" s="475"/>
      <c r="S70" s="465"/>
      <c r="T70" s="465"/>
      <c r="U70" s="475"/>
      <c r="V70" s="475"/>
      <c r="W70" s="465"/>
      <c r="X70" s="502"/>
      <c r="Y70" s="506"/>
      <c r="Z70" s="506"/>
      <c r="AA70" s="506"/>
      <c r="AB70" s="506"/>
      <c r="AC70" s="506"/>
      <c r="AD70" s="506"/>
      <c r="AE70" s="506"/>
    </row>
    <row r="71" spans="1:31" ht="15.75" customHeight="1">
      <c r="A71" s="456" t="s">
        <v>1379</v>
      </c>
      <c r="B71" s="456"/>
      <c r="C71" s="511" t="s">
        <v>1154</v>
      </c>
      <c r="D71" s="511"/>
      <c r="E71" s="454"/>
      <c r="F71" s="453"/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510" t="s">
        <v>690</v>
      </c>
      <c r="R71" s="475"/>
      <c r="S71" s="465"/>
      <c r="T71" s="465"/>
      <c r="U71" s="475"/>
      <c r="V71" s="475"/>
      <c r="W71" s="465"/>
      <c r="X71" s="434"/>
      <c r="Y71" s="429"/>
      <c r="Z71" s="429"/>
      <c r="AA71" s="429"/>
      <c r="AB71" s="429"/>
      <c r="AC71" s="429"/>
      <c r="AD71" s="429"/>
      <c r="AE71" s="429"/>
    </row>
    <row r="72" spans="1:31" s="459" customFormat="1" ht="15.75" customHeight="1">
      <c r="A72" s="503"/>
      <c r="B72" s="503"/>
      <c r="C72" s="509"/>
      <c r="D72" s="509"/>
      <c r="E72" s="502"/>
      <c r="F72" s="501"/>
      <c r="G72" s="501"/>
      <c r="H72" s="501"/>
      <c r="I72" s="501"/>
      <c r="J72" s="501"/>
      <c r="K72" s="501"/>
      <c r="L72" s="501"/>
      <c r="M72" s="501"/>
      <c r="N72" s="501"/>
      <c r="O72" s="501"/>
      <c r="P72" s="501"/>
      <c r="Q72" s="433"/>
      <c r="R72" s="475"/>
      <c r="S72" s="465"/>
      <c r="T72" s="465"/>
      <c r="U72" s="475"/>
      <c r="V72" s="475"/>
      <c r="W72" s="465"/>
      <c r="X72" s="444"/>
      <c r="Y72" s="460"/>
      <c r="Z72" s="460"/>
      <c r="AA72" s="460"/>
      <c r="AB72" s="460"/>
      <c r="AC72" s="460"/>
      <c r="AD72" s="460"/>
      <c r="AE72" s="460"/>
    </row>
    <row r="73" spans="1:31" s="459" customFormat="1" ht="15.75" customHeight="1">
      <c r="A73" s="451" t="s">
        <v>1378</v>
      </c>
      <c r="B73" s="481"/>
      <c r="C73" s="508" t="s">
        <v>1155</v>
      </c>
      <c r="D73" s="508"/>
      <c r="E73" s="434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75"/>
      <c r="S73" s="465"/>
      <c r="T73" s="465"/>
      <c r="U73" s="475"/>
      <c r="V73" s="475"/>
      <c r="W73" s="465"/>
      <c r="X73" s="444"/>
      <c r="Y73" s="460"/>
      <c r="Z73" s="460"/>
      <c r="AA73" s="460"/>
      <c r="AB73" s="460"/>
      <c r="AC73" s="460"/>
      <c r="AD73" s="460"/>
      <c r="AE73" s="460"/>
    </row>
    <row r="74" spans="1:31" s="459" customFormat="1" ht="15.75" customHeight="1">
      <c r="A74" s="440" t="s">
        <v>1377</v>
      </c>
      <c r="B74" s="440"/>
      <c r="C74" s="478" t="s">
        <v>1156</v>
      </c>
      <c r="D74" s="478"/>
      <c r="E74" s="444" t="s">
        <v>1339</v>
      </c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33"/>
      <c r="R74" s="475"/>
      <c r="S74" s="465"/>
      <c r="T74" s="465"/>
      <c r="U74" s="475"/>
      <c r="V74" s="475"/>
      <c r="W74" s="465"/>
      <c r="X74" s="444"/>
      <c r="Y74" s="460"/>
      <c r="Z74" s="460"/>
      <c r="AA74" s="460"/>
      <c r="AB74" s="460"/>
      <c r="AC74" s="460"/>
      <c r="AD74" s="460"/>
      <c r="AE74" s="460"/>
    </row>
    <row r="75" spans="1:31" s="459" customFormat="1" ht="15.75" customHeight="1">
      <c r="A75" s="464" t="s">
        <v>1376</v>
      </c>
      <c r="B75" s="464"/>
      <c r="C75" s="464" t="s">
        <v>1375</v>
      </c>
      <c r="D75" s="464"/>
      <c r="E75" s="463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507"/>
      <c r="R75" s="461">
        <v>-461</v>
      </c>
      <c r="S75" s="465"/>
      <c r="T75" s="465"/>
      <c r="U75" s="475"/>
      <c r="V75" s="475"/>
      <c r="W75" s="465"/>
      <c r="X75" s="444"/>
      <c r="Y75" s="460"/>
      <c r="Z75" s="460"/>
      <c r="AA75" s="460"/>
      <c r="AB75" s="460"/>
      <c r="AC75" s="460"/>
      <c r="AD75" s="460"/>
      <c r="AE75" s="460"/>
    </row>
    <row r="76" spans="1:31" s="459" customFormat="1" ht="15.75" customHeight="1">
      <c r="A76" s="456" t="s">
        <v>1374</v>
      </c>
      <c r="B76" s="456"/>
      <c r="C76" s="456" t="s">
        <v>1373</v>
      </c>
      <c r="D76" s="456"/>
      <c r="E76" s="458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504"/>
      <c r="R76" s="452">
        <v>-462</v>
      </c>
      <c r="S76" s="465"/>
      <c r="T76" s="465"/>
      <c r="U76" s="475"/>
      <c r="V76" s="475"/>
      <c r="W76" s="465"/>
      <c r="X76" s="444"/>
      <c r="Y76" s="460"/>
      <c r="Z76" s="460"/>
      <c r="AA76" s="460"/>
      <c r="AB76" s="460"/>
      <c r="AC76" s="460"/>
      <c r="AD76" s="460"/>
      <c r="AE76" s="460"/>
    </row>
    <row r="77" spans="1:31" s="505" customFormat="1" ht="15.75" customHeight="1">
      <c r="A77" s="456" t="s">
        <v>1372</v>
      </c>
      <c r="B77" s="456"/>
      <c r="C77" s="456" t="s">
        <v>1371</v>
      </c>
      <c r="D77" s="456"/>
      <c r="E77" s="458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504"/>
      <c r="R77" s="452">
        <v>-463</v>
      </c>
      <c r="S77" s="465"/>
      <c r="T77" s="465"/>
      <c r="U77" s="475"/>
      <c r="V77" s="475"/>
      <c r="W77" s="465"/>
      <c r="X77" s="502"/>
      <c r="Y77" s="506"/>
      <c r="Z77" s="506"/>
      <c r="AA77" s="506"/>
      <c r="AB77" s="506"/>
      <c r="AC77" s="506"/>
      <c r="AD77" s="506"/>
      <c r="AE77" s="506"/>
    </row>
    <row r="78" spans="1:31" ht="15.75" customHeight="1">
      <c r="A78" s="456" t="s">
        <v>1370</v>
      </c>
      <c r="B78" s="456"/>
      <c r="C78" s="456" t="s">
        <v>1369</v>
      </c>
      <c r="D78" s="456"/>
      <c r="E78" s="458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504"/>
      <c r="R78" s="452">
        <v>-464</v>
      </c>
      <c r="S78" s="465"/>
      <c r="T78" s="465"/>
      <c r="U78" s="475"/>
      <c r="V78" s="475"/>
      <c r="W78" s="465"/>
      <c r="X78" s="434"/>
      <c r="Y78" s="429"/>
      <c r="Z78" s="429"/>
      <c r="AA78" s="429"/>
      <c r="AB78" s="429"/>
      <c r="AC78" s="429"/>
      <c r="AD78" s="429"/>
      <c r="AE78" s="429"/>
    </row>
    <row r="79" spans="1:31" s="459" customFormat="1" ht="15.75" customHeight="1">
      <c r="A79" s="503"/>
      <c r="B79" s="503"/>
      <c r="C79" s="503"/>
      <c r="D79" s="503"/>
      <c r="E79" s="502"/>
      <c r="F79" s="501"/>
      <c r="G79" s="501"/>
      <c r="H79" s="501"/>
      <c r="I79" s="501"/>
      <c r="J79" s="501"/>
      <c r="K79" s="501"/>
      <c r="L79" s="501"/>
      <c r="M79" s="501"/>
      <c r="N79" s="501"/>
      <c r="O79" s="501"/>
      <c r="P79" s="501"/>
      <c r="Q79" s="433"/>
      <c r="R79" s="466"/>
      <c r="S79" s="465"/>
      <c r="T79" s="465"/>
      <c r="U79" s="475"/>
      <c r="V79" s="475"/>
      <c r="W79" s="465"/>
      <c r="X79" s="444"/>
      <c r="Y79" s="460"/>
      <c r="Z79" s="460"/>
      <c r="AA79" s="460"/>
      <c r="AB79" s="460"/>
      <c r="AC79" s="460"/>
      <c r="AD79" s="460"/>
      <c r="AE79" s="460"/>
    </row>
    <row r="80" spans="1:31" ht="15.75" customHeight="1">
      <c r="A80" s="451" t="s">
        <v>1368</v>
      </c>
      <c r="B80" s="481"/>
      <c r="C80" s="481" t="s">
        <v>1157</v>
      </c>
      <c r="D80" s="481"/>
      <c r="E80" s="444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66"/>
      <c r="S80" s="465"/>
      <c r="T80" s="465"/>
      <c r="U80" s="492"/>
      <c r="V80" s="475"/>
      <c r="W80" s="465"/>
      <c r="X80" s="434"/>
      <c r="Y80" s="429"/>
      <c r="Z80" s="429"/>
      <c r="AA80" s="429"/>
      <c r="AB80" s="429"/>
      <c r="AC80" s="429"/>
      <c r="AD80" s="429"/>
      <c r="AE80" s="429"/>
    </row>
    <row r="81" spans="1:31" ht="15.75" customHeight="1">
      <c r="A81" s="440" t="s">
        <v>1347</v>
      </c>
      <c r="B81" s="440"/>
      <c r="C81" s="431" t="s">
        <v>1133</v>
      </c>
      <c r="D81" s="440"/>
      <c r="E81" s="449" t="s">
        <v>1339</v>
      </c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66"/>
      <c r="S81" s="500"/>
      <c r="T81" s="500"/>
      <c r="U81" s="492"/>
      <c r="V81" s="475"/>
      <c r="W81" s="465"/>
      <c r="X81" s="434"/>
      <c r="Y81" s="429"/>
      <c r="Z81" s="429"/>
      <c r="AA81" s="429"/>
      <c r="AB81" s="429"/>
      <c r="AC81" s="429"/>
      <c r="AD81" s="429"/>
      <c r="AE81" s="429"/>
    </row>
    <row r="82" spans="1:31" ht="15.75" customHeight="1">
      <c r="A82" s="431" t="s">
        <v>1367</v>
      </c>
      <c r="B82" s="431"/>
      <c r="C82" s="440" t="s">
        <v>1158</v>
      </c>
      <c r="D82" s="440"/>
      <c r="E82" s="444"/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33"/>
      <c r="R82" s="499"/>
      <c r="S82" s="466">
        <v>-92</v>
      </c>
      <c r="T82" s="498"/>
      <c r="U82" s="492"/>
      <c r="V82" s="475"/>
      <c r="W82" s="465"/>
      <c r="X82" s="434"/>
      <c r="Y82" s="429"/>
      <c r="Z82" s="429"/>
      <c r="AA82" s="429"/>
      <c r="AB82" s="429"/>
      <c r="AC82" s="429"/>
      <c r="AD82" s="429"/>
      <c r="AE82" s="429"/>
    </row>
    <row r="83" spans="1:31" ht="15.75" customHeight="1">
      <c r="A83" s="497" t="s">
        <v>1159</v>
      </c>
      <c r="B83" s="431"/>
      <c r="C83" s="440" t="s">
        <v>1159</v>
      </c>
      <c r="D83" s="440"/>
      <c r="E83" s="444"/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96"/>
      <c r="R83" s="466"/>
      <c r="S83" s="466"/>
      <c r="T83" s="465"/>
      <c r="U83" s="492"/>
      <c r="V83" s="475"/>
      <c r="W83" s="465"/>
      <c r="X83" s="434"/>
      <c r="Y83" s="429"/>
      <c r="Z83" s="429"/>
      <c r="AA83" s="429"/>
      <c r="AB83" s="429"/>
      <c r="AC83" s="429"/>
      <c r="AD83" s="429"/>
      <c r="AE83" s="429"/>
    </row>
    <row r="84" spans="1:31" ht="15.75" customHeight="1">
      <c r="A84" s="431" t="s">
        <v>1366</v>
      </c>
      <c r="B84" s="431"/>
      <c r="C84" s="440" t="s">
        <v>1161</v>
      </c>
      <c r="D84" s="440"/>
      <c r="E84" s="444"/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96"/>
      <c r="R84" s="466"/>
      <c r="S84" s="466"/>
      <c r="T84" s="465"/>
      <c r="U84" s="492"/>
      <c r="V84" s="475"/>
      <c r="W84" s="465"/>
      <c r="X84" s="434"/>
      <c r="Y84" s="429"/>
      <c r="Z84" s="429"/>
      <c r="AA84" s="429"/>
      <c r="AB84" s="429"/>
      <c r="AC84" s="429"/>
      <c r="AD84" s="429"/>
      <c r="AE84" s="429"/>
    </row>
    <row r="85" spans="1:31" ht="15.75" customHeight="1">
      <c r="A85" s="493" t="s">
        <v>1365</v>
      </c>
      <c r="B85" s="493"/>
      <c r="C85" s="464" t="s">
        <v>1167</v>
      </c>
      <c r="D85" s="464"/>
      <c r="E85" s="463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95"/>
      <c r="R85" s="461"/>
      <c r="S85" s="461"/>
      <c r="T85" s="465"/>
      <c r="U85" s="492"/>
      <c r="V85" s="475"/>
      <c r="W85" s="465"/>
      <c r="X85" s="434"/>
      <c r="Y85" s="429"/>
      <c r="Z85" s="429"/>
      <c r="AA85" s="429"/>
      <c r="AB85" s="429"/>
      <c r="AC85" s="429"/>
      <c r="AD85" s="429"/>
      <c r="AE85" s="429"/>
    </row>
    <row r="86" spans="1:31" ht="15.75" customHeight="1">
      <c r="A86" s="494" t="s">
        <v>1364</v>
      </c>
      <c r="B86" s="493"/>
      <c r="C86" s="464" t="s">
        <v>1168</v>
      </c>
      <c r="D86" s="464"/>
      <c r="E86" s="463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1"/>
      <c r="S86" s="461"/>
      <c r="T86" s="461">
        <v>1</v>
      </c>
      <c r="U86" s="492"/>
      <c r="V86" s="475"/>
      <c r="W86" s="465"/>
      <c r="X86" s="429"/>
      <c r="Y86" s="429"/>
      <c r="Z86" s="429"/>
      <c r="AA86" s="429"/>
      <c r="AB86" s="429"/>
      <c r="AC86" s="429"/>
      <c r="AD86" s="429"/>
      <c r="AE86" s="429"/>
    </row>
    <row r="87" spans="1:31" ht="15.75" customHeight="1">
      <c r="A87" s="491" t="s">
        <v>1363</v>
      </c>
      <c r="B87" s="491"/>
      <c r="C87" s="456" t="s">
        <v>1169</v>
      </c>
      <c r="D87" s="456"/>
      <c r="E87" s="458"/>
      <c r="F87" s="457"/>
      <c r="G87" s="457"/>
      <c r="H87" s="457"/>
      <c r="I87" s="457"/>
      <c r="J87" s="457"/>
      <c r="K87" s="457"/>
      <c r="L87" s="457"/>
      <c r="M87" s="457"/>
      <c r="N87" s="457"/>
      <c r="O87" s="457"/>
      <c r="P87" s="457"/>
      <c r="Q87" s="457"/>
      <c r="R87" s="452"/>
      <c r="S87" s="452"/>
      <c r="T87" s="452">
        <v>2</v>
      </c>
      <c r="U87" s="492"/>
      <c r="V87" s="475"/>
      <c r="W87" s="465"/>
      <c r="X87" s="429"/>
      <c r="Y87" s="429"/>
      <c r="Z87" s="429"/>
      <c r="AA87" s="429"/>
      <c r="AB87" s="429"/>
      <c r="AC87" s="429"/>
      <c r="AD87" s="429"/>
      <c r="AE87" s="429"/>
    </row>
    <row r="88" spans="1:31" s="459" customFormat="1" ht="15.75" customHeight="1">
      <c r="A88" s="491" t="s">
        <v>1362</v>
      </c>
      <c r="B88" s="491"/>
      <c r="C88" s="456" t="s">
        <v>1170</v>
      </c>
      <c r="D88" s="456"/>
      <c r="E88" s="458"/>
      <c r="F88" s="457"/>
      <c r="G88" s="457"/>
      <c r="H88" s="457"/>
      <c r="I88" s="457"/>
      <c r="J88" s="457"/>
      <c r="K88" s="457"/>
      <c r="L88" s="457"/>
      <c r="M88" s="457"/>
      <c r="N88" s="457"/>
      <c r="O88" s="457"/>
      <c r="P88" s="457"/>
      <c r="Q88" s="457"/>
      <c r="R88" s="452"/>
      <c r="S88" s="452"/>
      <c r="T88" s="452">
        <v>4</v>
      </c>
      <c r="U88" s="484"/>
      <c r="V88" s="475"/>
      <c r="W88" s="465"/>
      <c r="X88" s="460"/>
      <c r="Y88" s="460"/>
      <c r="Z88" s="460"/>
      <c r="AA88" s="460"/>
      <c r="AB88" s="460"/>
      <c r="AC88" s="460"/>
      <c r="AD88" s="460"/>
      <c r="AE88" s="460"/>
    </row>
    <row r="89" spans="1:31" s="459" customFormat="1" ht="15.75" customHeight="1">
      <c r="A89" s="431"/>
      <c r="B89" s="431"/>
      <c r="C89" s="440"/>
      <c r="D89" s="440"/>
      <c r="E89" s="444"/>
      <c r="F89" s="443"/>
      <c r="G89" s="443"/>
      <c r="H89" s="443"/>
      <c r="I89" s="443"/>
      <c r="J89" s="443"/>
      <c r="K89" s="443"/>
      <c r="L89" s="443"/>
      <c r="M89" s="443"/>
      <c r="N89" s="443"/>
      <c r="O89" s="443"/>
      <c r="P89" s="443"/>
      <c r="Q89" s="443"/>
      <c r="R89" s="466"/>
      <c r="S89" s="466"/>
      <c r="T89" s="465"/>
      <c r="U89" s="484"/>
      <c r="V89" s="475"/>
      <c r="W89" s="465"/>
      <c r="X89" s="460"/>
      <c r="Y89" s="460"/>
      <c r="Z89" s="460"/>
      <c r="AA89" s="460"/>
      <c r="AB89" s="460"/>
      <c r="AC89" s="460"/>
      <c r="AD89" s="460"/>
      <c r="AE89" s="460"/>
    </row>
    <row r="90" spans="1:31" s="459" customFormat="1" ht="15.75" customHeight="1">
      <c r="A90" s="464" t="s">
        <v>1361</v>
      </c>
      <c r="B90" s="464"/>
      <c r="C90" s="464" t="s">
        <v>1171</v>
      </c>
      <c r="D90" s="464"/>
      <c r="E90" s="463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462"/>
      <c r="R90" s="461"/>
      <c r="S90" s="461">
        <v>-94</v>
      </c>
      <c r="T90" s="461"/>
      <c r="U90" s="484"/>
      <c r="V90" s="475"/>
      <c r="W90" s="473"/>
      <c r="X90" s="460"/>
      <c r="Y90" s="460"/>
      <c r="Z90" s="460"/>
      <c r="AA90" s="460"/>
      <c r="AB90" s="460"/>
      <c r="AC90" s="460"/>
      <c r="AD90" s="460"/>
      <c r="AE90" s="460"/>
    </row>
    <row r="91" spans="1:31" s="490" customFormat="1" ht="15.75" customHeight="1">
      <c r="A91" s="440" t="s">
        <v>1360</v>
      </c>
      <c r="B91" s="440"/>
      <c r="C91" s="440" t="s">
        <v>1172</v>
      </c>
      <c r="D91" s="440"/>
      <c r="E91" s="444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66"/>
      <c r="S91" s="466"/>
      <c r="T91" s="465"/>
      <c r="U91" s="475"/>
      <c r="V91" s="475"/>
      <c r="W91" s="465"/>
      <c r="X91" s="477"/>
      <c r="Y91" s="477"/>
      <c r="Z91" s="477"/>
      <c r="AA91" s="477"/>
      <c r="AB91" s="477"/>
      <c r="AC91" s="477"/>
      <c r="AD91" s="477"/>
      <c r="AE91" s="477"/>
    </row>
    <row r="92" spans="1:31" s="490" customFormat="1" ht="15.75" customHeight="1">
      <c r="A92" s="464" t="s">
        <v>1357</v>
      </c>
      <c r="B92" s="464"/>
      <c r="C92" s="464" t="s">
        <v>1167</v>
      </c>
      <c r="D92" s="464"/>
      <c r="E92" s="463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462"/>
      <c r="R92" s="461"/>
      <c r="S92" s="461"/>
      <c r="T92" s="461">
        <v>6</v>
      </c>
      <c r="U92" s="475"/>
      <c r="V92" s="475"/>
      <c r="W92" s="465"/>
      <c r="X92" s="477"/>
      <c r="Y92" s="477"/>
      <c r="Z92" s="477"/>
      <c r="AA92" s="477"/>
      <c r="AB92" s="477"/>
      <c r="AC92" s="477"/>
      <c r="AD92" s="477"/>
      <c r="AE92" s="477"/>
    </row>
    <row r="93" spans="1:31" ht="15.75" customHeight="1">
      <c r="A93" s="450" t="s">
        <v>1359</v>
      </c>
      <c r="B93" s="450"/>
      <c r="C93" s="489" t="s">
        <v>1173</v>
      </c>
      <c r="D93" s="489"/>
      <c r="E93" s="449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66"/>
      <c r="S93" s="466"/>
      <c r="T93" s="465"/>
      <c r="U93" s="475"/>
      <c r="V93" s="475"/>
      <c r="W93" s="465"/>
      <c r="X93" s="429"/>
      <c r="Y93" s="429"/>
      <c r="Z93" s="429"/>
      <c r="AA93" s="429"/>
      <c r="AB93" s="429"/>
      <c r="AC93" s="429"/>
      <c r="AD93" s="429"/>
      <c r="AE93" s="429"/>
    </row>
    <row r="94" spans="1:31" s="459" customFormat="1" ht="15.75" customHeight="1" hidden="1">
      <c r="A94" s="488" t="s">
        <v>1162</v>
      </c>
      <c r="B94" s="488"/>
      <c r="C94" s="487" t="s">
        <v>1167</v>
      </c>
      <c r="D94" s="487"/>
      <c r="E94" s="486"/>
      <c r="F94" s="485"/>
      <c r="G94" s="485"/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61"/>
      <c r="S94" s="461"/>
      <c r="T94" s="461">
        <v>7</v>
      </c>
      <c r="U94" s="475"/>
      <c r="V94" s="475"/>
      <c r="W94" s="465"/>
      <c r="X94" s="460"/>
      <c r="Y94" s="460"/>
      <c r="Z94" s="460"/>
      <c r="AA94" s="460"/>
      <c r="AB94" s="460"/>
      <c r="AC94" s="460"/>
      <c r="AD94" s="460"/>
      <c r="AE94" s="460"/>
    </row>
    <row r="95" spans="1:31" s="459" customFormat="1" ht="15.75" customHeight="1" hidden="1">
      <c r="A95" s="431"/>
      <c r="B95" s="431"/>
      <c r="C95" s="440"/>
      <c r="D95" s="440"/>
      <c r="E95" s="444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66"/>
      <c r="S95" s="466"/>
      <c r="T95" s="465"/>
      <c r="U95" s="484"/>
      <c r="V95" s="475"/>
      <c r="W95" s="465"/>
      <c r="X95" s="460"/>
      <c r="Y95" s="460"/>
      <c r="Z95" s="460"/>
      <c r="AA95" s="460"/>
      <c r="AB95" s="460"/>
      <c r="AC95" s="460"/>
      <c r="AD95" s="460"/>
      <c r="AE95" s="460"/>
    </row>
    <row r="96" spans="1:31" s="459" customFormat="1" ht="15.75" customHeight="1" hidden="1">
      <c r="A96" s="482" t="s">
        <v>1358</v>
      </c>
      <c r="B96" s="464"/>
      <c r="C96" s="464" t="s">
        <v>1171</v>
      </c>
      <c r="D96" s="464"/>
      <c r="E96" s="463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1"/>
      <c r="S96" s="461">
        <v>-98</v>
      </c>
      <c r="T96" s="461"/>
      <c r="U96" s="484"/>
      <c r="V96" s="475"/>
      <c r="W96" s="473"/>
      <c r="X96" s="460"/>
      <c r="Y96" s="460"/>
      <c r="Z96" s="460"/>
      <c r="AA96" s="460"/>
      <c r="AB96" s="460"/>
      <c r="AC96" s="460"/>
      <c r="AD96" s="460"/>
      <c r="AE96" s="460"/>
    </row>
    <row r="97" spans="1:31" s="459" customFormat="1" ht="15.75" customHeight="1" hidden="1">
      <c r="A97" s="440" t="s">
        <v>962</v>
      </c>
      <c r="B97" s="440"/>
      <c r="C97" s="440"/>
      <c r="D97" s="440"/>
      <c r="E97" s="444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66"/>
      <c r="S97" s="466"/>
      <c r="T97" s="465"/>
      <c r="U97" s="475"/>
      <c r="V97" s="475"/>
      <c r="W97" s="465"/>
      <c r="X97" s="460"/>
      <c r="Y97" s="460"/>
      <c r="Z97" s="460"/>
      <c r="AA97" s="460"/>
      <c r="AB97" s="460"/>
      <c r="AC97" s="460"/>
      <c r="AD97" s="460"/>
      <c r="AE97" s="460"/>
    </row>
    <row r="98" spans="1:31" s="459" customFormat="1" ht="15.75" customHeight="1" hidden="1">
      <c r="A98" s="440" t="s">
        <v>1160</v>
      </c>
      <c r="B98" s="440"/>
      <c r="C98" s="440"/>
      <c r="D98" s="440"/>
      <c r="E98" s="444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66"/>
      <c r="S98" s="466"/>
      <c r="T98" s="465"/>
      <c r="U98" s="475"/>
      <c r="V98" s="475"/>
      <c r="W98" s="465"/>
      <c r="X98" s="460"/>
      <c r="Y98" s="460"/>
      <c r="Z98" s="460"/>
      <c r="AA98" s="460"/>
      <c r="AB98" s="460"/>
      <c r="AC98" s="460"/>
      <c r="AD98" s="460"/>
      <c r="AE98" s="460"/>
    </row>
    <row r="99" spans="1:31" s="459" customFormat="1" ht="15.75" customHeight="1" hidden="1">
      <c r="A99" s="464" t="s">
        <v>1162</v>
      </c>
      <c r="B99" s="464"/>
      <c r="C99" s="464"/>
      <c r="D99" s="464"/>
      <c r="E99" s="463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1"/>
      <c r="S99" s="461"/>
      <c r="T99" s="483">
        <v>1</v>
      </c>
      <c r="U99" s="475"/>
      <c r="V99" s="475"/>
      <c r="W99" s="465"/>
      <c r="X99" s="460"/>
      <c r="Y99" s="460"/>
      <c r="Z99" s="460"/>
      <c r="AA99" s="460"/>
      <c r="AB99" s="460"/>
      <c r="AC99" s="460"/>
      <c r="AD99" s="460"/>
      <c r="AE99" s="460"/>
    </row>
    <row r="100" spans="1:31" s="459" customFormat="1" ht="15.75" customHeight="1" hidden="1">
      <c r="A100" s="440" t="s">
        <v>963</v>
      </c>
      <c r="B100" s="440"/>
      <c r="C100" s="440"/>
      <c r="D100" s="440"/>
      <c r="E100" s="444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66"/>
      <c r="S100" s="466"/>
      <c r="T100" s="465"/>
      <c r="U100" s="475"/>
      <c r="V100" s="475"/>
      <c r="W100" s="465"/>
      <c r="X100" s="460"/>
      <c r="Y100" s="460"/>
      <c r="Z100" s="460"/>
      <c r="AA100" s="460"/>
      <c r="AB100" s="460"/>
      <c r="AC100" s="460"/>
      <c r="AD100" s="460"/>
      <c r="AE100" s="460"/>
    </row>
    <row r="101" spans="1:31" s="459" customFormat="1" ht="15.75" customHeight="1" hidden="1">
      <c r="A101" s="440" t="s">
        <v>1160</v>
      </c>
      <c r="B101" s="440"/>
      <c r="C101" s="440"/>
      <c r="D101" s="440"/>
      <c r="E101" s="444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66"/>
      <c r="S101" s="466"/>
      <c r="T101" s="465"/>
      <c r="U101" s="475"/>
      <c r="V101" s="475"/>
      <c r="W101" s="465"/>
      <c r="X101" s="460"/>
      <c r="Y101" s="460"/>
      <c r="Z101" s="460"/>
      <c r="AA101" s="460"/>
      <c r="AB101" s="460"/>
      <c r="AC101" s="460"/>
      <c r="AD101" s="460"/>
      <c r="AE101" s="460"/>
    </row>
    <row r="102" spans="1:31" s="459" customFormat="1" ht="15.75" customHeight="1" hidden="1">
      <c r="A102" s="464" t="s">
        <v>1162</v>
      </c>
      <c r="B102" s="464"/>
      <c r="C102" s="464"/>
      <c r="D102" s="464"/>
      <c r="E102" s="463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1"/>
      <c r="S102" s="461"/>
      <c r="T102" s="483">
        <v>2</v>
      </c>
      <c r="U102" s="475"/>
      <c r="V102" s="475"/>
      <c r="W102" s="465"/>
      <c r="X102" s="460"/>
      <c r="Y102" s="460"/>
      <c r="Z102" s="460"/>
      <c r="AA102" s="460"/>
      <c r="AB102" s="460"/>
      <c r="AC102" s="460"/>
      <c r="AD102" s="460"/>
      <c r="AE102" s="460"/>
    </row>
    <row r="103" spans="1:31" s="459" customFormat="1" ht="15.75" customHeight="1" hidden="1">
      <c r="A103" s="440" t="s">
        <v>964</v>
      </c>
      <c r="B103" s="440"/>
      <c r="C103" s="440"/>
      <c r="D103" s="440"/>
      <c r="E103" s="444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66"/>
      <c r="S103" s="466"/>
      <c r="T103" s="465"/>
      <c r="U103" s="475"/>
      <c r="V103" s="475"/>
      <c r="W103" s="465"/>
      <c r="X103" s="460"/>
      <c r="Y103" s="460"/>
      <c r="Z103" s="460"/>
      <c r="AA103" s="460"/>
      <c r="AB103" s="460"/>
      <c r="AC103" s="460"/>
      <c r="AD103" s="460"/>
      <c r="AE103" s="460"/>
    </row>
    <row r="104" spans="1:31" s="459" customFormat="1" ht="15.75" customHeight="1">
      <c r="A104" s="464" t="s">
        <v>1357</v>
      </c>
      <c r="B104" s="464"/>
      <c r="C104" s="464"/>
      <c r="D104" s="464"/>
      <c r="E104" s="463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1"/>
      <c r="S104" s="461"/>
      <c r="T104" s="483">
        <v>7</v>
      </c>
      <c r="U104" s="475"/>
      <c r="V104" s="475"/>
      <c r="W104" s="465"/>
      <c r="X104" s="460"/>
      <c r="Y104" s="460"/>
      <c r="Z104" s="460"/>
      <c r="AA104" s="460"/>
      <c r="AB104" s="460"/>
      <c r="AC104" s="460"/>
      <c r="AD104" s="460"/>
      <c r="AE104" s="460"/>
    </row>
    <row r="105" spans="1:31" s="459" customFormat="1" ht="15.75" customHeight="1">
      <c r="A105" s="431"/>
      <c r="B105" s="431"/>
      <c r="C105" s="440"/>
      <c r="D105" s="440"/>
      <c r="E105" s="444"/>
      <c r="F105" s="443"/>
      <c r="G105" s="443"/>
      <c r="H105" s="443"/>
      <c r="I105" s="443"/>
      <c r="J105" s="443"/>
      <c r="K105" s="443"/>
      <c r="L105" s="443"/>
      <c r="M105" s="443"/>
      <c r="N105" s="443"/>
      <c r="O105" s="443"/>
      <c r="P105" s="443"/>
      <c r="Q105" s="443"/>
      <c r="R105" s="466"/>
      <c r="S105" s="466"/>
      <c r="T105" s="465"/>
      <c r="U105" s="484"/>
      <c r="V105" s="475"/>
      <c r="W105" s="465"/>
      <c r="X105" s="460"/>
      <c r="Y105" s="460"/>
      <c r="Z105" s="460"/>
      <c r="AA105" s="460"/>
      <c r="AB105" s="460"/>
      <c r="AC105" s="460"/>
      <c r="AD105" s="460"/>
      <c r="AE105" s="460"/>
    </row>
    <row r="106" spans="1:31" s="459" customFormat="1" ht="15.75" customHeight="1">
      <c r="A106" s="482" t="s">
        <v>1356</v>
      </c>
      <c r="B106" s="464"/>
      <c r="C106" s="464" t="s">
        <v>1171</v>
      </c>
      <c r="D106" s="464"/>
      <c r="E106" s="463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1"/>
      <c r="S106" s="461">
        <v>-98</v>
      </c>
      <c r="T106" s="461"/>
      <c r="U106" s="484"/>
      <c r="V106" s="475"/>
      <c r="W106" s="473"/>
      <c r="X106" s="460"/>
      <c r="Y106" s="460"/>
      <c r="Z106" s="460"/>
      <c r="AA106" s="460"/>
      <c r="AB106" s="460"/>
      <c r="AC106" s="460"/>
      <c r="AD106" s="460"/>
      <c r="AE106" s="460"/>
    </row>
    <row r="107" spans="1:31" s="459" customFormat="1" ht="15.75" customHeight="1">
      <c r="A107" s="440" t="s">
        <v>1355</v>
      </c>
      <c r="B107" s="440"/>
      <c r="C107" s="440"/>
      <c r="D107" s="440"/>
      <c r="E107" s="444"/>
      <c r="F107" s="44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66"/>
      <c r="S107" s="466"/>
      <c r="T107" s="465"/>
      <c r="U107" s="475"/>
      <c r="V107" s="475"/>
      <c r="W107" s="465"/>
      <c r="X107" s="460"/>
      <c r="Y107" s="460"/>
      <c r="Z107" s="460"/>
      <c r="AA107" s="460"/>
      <c r="AB107" s="460"/>
      <c r="AC107" s="460"/>
      <c r="AD107" s="460"/>
      <c r="AE107" s="460"/>
    </row>
    <row r="108" spans="1:31" s="459" customFormat="1" ht="15.75" customHeight="1">
      <c r="A108" s="440" t="s">
        <v>1354</v>
      </c>
      <c r="B108" s="440"/>
      <c r="C108" s="440"/>
      <c r="D108" s="440"/>
      <c r="E108" s="444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66"/>
      <c r="S108" s="466"/>
      <c r="T108" s="465"/>
      <c r="U108" s="475"/>
      <c r="V108" s="475"/>
      <c r="W108" s="465"/>
      <c r="X108" s="460"/>
      <c r="Y108" s="460"/>
      <c r="Z108" s="460"/>
      <c r="AA108" s="460"/>
      <c r="AB108" s="460"/>
      <c r="AC108" s="460"/>
      <c r="AD108" s="460"/>
      <c r="AE108" s="460"/>
    </row>
    <row r="109" spans="1:31" s="459" customFormat="1" ht="15.75" customHeight="1">
      <c r="A109" s="464" t="s">
        <v>1349</v>
      </c>
      <c r="B109" s="464"/>
      <c r="C109" s="464"/>
      <c r="D109" s="464"/>
      <c r="E109" s="463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462"/>
      <c r="R109" s="461"/>
      <c r="S109" s="461"/>
      <c r="T109" s="483">
        <v>1</v>
      </c>
      <c r="U109" s="475"/>
      <c r="V109" s="475"/>
      <c r="W109" s="465"/>
      <c r="X109" s="460"/>
      <c r="Y109" s="460"/>
      <c r="Z109" s="460"/>
      <c r="AA109" s="460"/>
      <c r="AB109" s="460"/>
      <c r="AC109" s="460"/>
      <c r="AD109" s="460"/>
      <c r="AE109" s="460"/>
    </row>
    <row r="110" spans="1:31" s="459" customFormat="1" ht="15.75" customHeight="1">
      <c r="A110" s="440" t="s">
        <v>1353</v>
      </c>
      <c r="B110" s="440"/>
      <c r="C110" s="440"/>
      <c r="D110" s="440"/>
      <c r="E110" s="444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66"/>
      <c r="S110" s="466"/>
      <c r="T110" s="465"/>
      <c r="U110" s="475"/>
      <c r="V110" s="475"/>
      <c r="W110" s="465"/>
      <c r="X110" s="460"/>
      <c r="Y110" s="460"/>
      <c r="Z110" s="460"/>
      <c r="AA110" s="460"/>
      <c r="AB110" s="460"/>
      <c r="AC110" s="460"/>
      <c r="AD110" s="460"/>
      <c r="AE110" s="460"/>
    </row>
    <row r="111" spans="1:31" s="459" customFormat="1" ht="15.75" customHeight="1">
      <c r="A111" s="440" t="s">
        <v>1352</v>
      </c>
      <c r="B111" s="440"/>
      <c r="C111" s="440"/>
      <c r="D111" s="440"/>
      <c r="E111" s="444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66"/>
      <c r="S111" s="466"/>
      <c r="T111" s="465"/>
      <c r="U111" s="475"/>
      <c r="V111" s="475"/>
      <c r="W111" s="465"/>
      <c r="X111" s="460"/>
      <c r="Y111" s="460"/>
      <c r="Z111" s="460"/>
      <c r="AA111" s="460"/>
      <c r="AB111" s="460"/>
      <c r="AC111" s="460"/>
      <c r="AD111" s="460"/>
      <c r="AE111" s="460"/>
    </row>
    <row r="112" spans="1:31" s="459" customFormat="1" ht="15.75" customHeight="1">
      <c r="A112" s="464" t="s">
        <v>1349</v>
      </c>
      <c r="B112" s="464"/>
      <c r="C112" s="464"/>
      <c r="D112" s="464"/>
      <c r="E112" s="463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462"/>
      <c r="R112" s="461"/>
      <c r="S112" s="461"/>
      <c r="T112" s="483">
        <v>2</v>
      </c>
      <c r="U112" s="475"/>
      <c r="V112" s="475"/>
      <c r="W112" s="465"/>
      <c r="X112" s="460"/>
      <c r="Y112" s="460"/>
      <c r="Z112" s="460"/>
      <c r="AA112" s="460"/>
      <c r="AB112" s="460"/>
      <c r="AC112" s="460"/>
      <c r="AD112" s="460"/>
      <c r="AE112" s="460"/>
    </row>
    <row r="113" spans="1:31" s="459" customFormat="1" ht="15.75" customHeight="1">
      <c r="A113" s="440" t="s">
        <v>1351</v>
      </c>
      <c r="B113" s="440"/>
      <c r="C113" s="440"/>
      <c r="D113" s="440"/>
      <c r="E113" s="444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3"/>
      <c r="R113" s="466"/>
      <c r="S113" s="466"/>
      <c r="T113" s="465"/>
      <c r="U113" s="475"/>
      <c r="V113" s="475"/>
      <c r="W113" s="465"/>
      <c r="X113" s="460"/>
      <c r="Y113" s="460"/>
      <c r="Z113" s="460"/>
      <c r="AA113" s="460"/>
      <c r="AB113" s="460"/>
      <c r="AC113" s="460"/>
      <c r="AD113" s="460"/>
      <c r="AE113" s="460"/>
    </row>
    <row r="114" spans="1:31" s="459" customFormat="1" ht="15.75" customHeight="1">
      <c r="A114" s="440" t="s">
        <v>1350</v>
      </c>
      <c r="B114" s="440"/>
      <c r="C114" s="440"/>
      <c r="D114" s="440"/>
      <c r="E114" s="444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66"/>
      <c r="S114" s="466"/>
      <c r="T114" s="465"/>
      <c r="U114" s="475"/>
      <c r="V114" s="475"/>
      <c r="W114" s="465"/>
      <c r="X114" s="460"/>
      <c r="Y114" s="460"/>
      <c r="Z114" s="460"/>
      <c r="AA114" s="460"/>
      <c r="AB114" s="460"/>
      <c r="AC114" s="460"/>
      <c r="AD114" s="460"/>
      <c r="AE114" s="460"/>
    </row>
    <row r="115" spans="1:31" s="459" customFormat="1" ht="15.75" customHeight="1">
      <c r="A115" s="464" t="s">
        <v>1349</v>
      </c>
      <c r="B115" s="464"/>
      <c r="C115" s="464"/>
      <c r="D115" s="464"/>
      <c r="E115" s="463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462"/>
      <c r="R115" s="461"/>
      <c r="S115" s="461"/>
      <c r="T115" s="483">
        <v>3</v>
      </c>
      <c r="U115" s="475"/>
      <c r="V115" s="475"/>
      <c r="W115" s="465"/>
      <c r="X115" s="460"/>
      <c r="Y115" s="460"/>
      <c r="Z115" s="460"/>
      <c r="AA115" s="460"/>
      <c r="AB115" s="460"/>
      <c r="AC115" s="460"/>
      <c r="AD115" s="460"/>
      <c r="AE115" s="460"/>
    </row>
    <row r="116" spans="1:31" s="459" customFormat="1" ht="15.75" customHeight="1">
      <c r="A116" s="440" t="s">
        <v>1648</v>
      </c>
      <c r="B116" s="440"/>
      <c r="C116" s="440"/>
      <c r="D116" s="440"/>
      <c r="E116" s="444"/>
      <c r="F116" s="443"/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66"/>
      <c r="S116" s="466"/>
      <c r="T116" s="465"/>
      <c r="U116" s="475"/>
      <c r="V116" s="475"/>
      <c r="W116" s="465"/>
      <c r="X116" s="460"/>
      <c r="Y116" s="460"/>
      <c r="Z116" s="460"/>
      <c r="AA116" s="460"/>
      <c r="AB116" s="460"/>
      <c r="AC116" s="460"/>
      <c r="AD116" s="460"/>
      <c r="AE116" s="460"/>
    </row>
    <row r="117" spans="1:31" s="459" customFormat="1" ht="15.75" customHeight="1">
      <c r="A117" s="440" t="s">
        <v>1350</v>
      </c>
      <c r="B117" s="440"/>
      <c r="C117" s="440"/>
      <c r="D117" s="440"/>
      <c r="E117" s="444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66"/>
      <c r="S117" s="466"/>
      <c r="T117" s="465"/>
      <c r="U117" s="475"/>
      <c r="V117" s="475"/>
      <c r="W117" s="465"/>
      <c r="X117" s="460"/>
      <c r="Y117" s="460"/>
      <c r="Z117" s="460"/>
      <c r="AA117" s="460"/>
      <c r="AB117" s="460"/>
      <c r="AC117" s="460"/>
      <c r="AD117" s="460"/>
      <c r="AE117" s="460"/>
    </row>
    <row r="118" spans="1:31" s="459" customFormat="1" ht="15.75" customHeight="1">
      <c r="A118" s="464" t="s">
        <v>1349</v>
      </c>
      <c r="B118" s="464"/>
      <c r="C118" s="464"/>
      <c r="D118" s="464"/>
      <c r="E118" s="463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462"/>
      <c r="R118" s="461"/>
      <c r="S118" s="461"/>
      <c r="T118" s="483">
        <v>4</v>
      </c>
      <c r="U118" s="475"/>
      <c r="V118" s="475"/>
      <c r="W118" s="465"/>
      <c r="X118" s="460"/>
      <c r="Y118" s="460"/>
      <c r="Z118" s="460"/>
      <c r="AA118" s="460"/>
      <c r="AB118" s="460"/>
      <c r="AC118" s="460"/>
      <c r="AD118" s="460"/>
      <c r="AE118" s="460"/>
    </row>
    <row r="119" spans="1:31" s="459" customFormat="1" ht="15.75" customHeight="1">
      <c r="A119" s="431"/>
      <c r="B119" s="431"/>
      <c r="C119" s="482"/>
      <c r="D119" s="482"/>
      <c r="E119" s="444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66"/>
      <c r="S119" s="466"/>
      <c r="T119" s="466"/>
      <c r="U119" s="475"/>
      <c r="V119" s="475"/>
      <c r="W119" s="465"/>
      <c r="X119" s="460"/>
      <c r="Y119" s="460"/>
      <c r="Z119" s="460"/>
      <c r="AA119" s="460"/>
      <c r="AB119" s="460"/>
      <c r="AC119" s="460"/>
      <c r="AD119" s="460"/>
      <c r="AE119" s="460"/>
    </row>
    <row r="120" spans="1:31" s="459" customFormat="1" ht="15.75" customHeight="1">
      <c r="A120" s="451" t="s">
        <v>1348</v>
      </c>
      <c r="B120" s="481"/>
      <c r="C120" s="480" t="s">
        <v>1174</v>
      </c>
      <c r="D120" s="480"/>
      <c r="E120" s="444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66"/>
      <c r="S120" s="466"/>
      <c r="T120" s="466"/>
      <c r="U120" s="475"/>
      <c r="V120" s="475"/>
      <c r="W120" s="465"/>
      <c r="X120" s="460"/>
      <c r="Y120" s="460"/>
      <c r="Z120" s="460"/>
      <c r="AA120" s="460"/>
      <c r="AB120" s="460"/>
      <c r="AC120" s="460"/>
      <c r="AD120" s="460"/>
      <c r="AE120" s="460"/>
    </row>
    <row r="121" spans="1:31" s="459" customFormat="1" ht="15.75" customHeight="1">
      <c r="A121" s="440" t="s">
        <v>1347</v>
      </c>
      <c r="B121" s="440"/>
      <c r="C121" s="479" t="s">
        <v>1133</v>
      </c>
      <c r="D121" s="478"/>
      <c r="E121" s="477" t="s">
        <v>1346</v>
      </c>
      <c r="F121" s="443"/>
      <c r="G121" s="468"/>
      <c r="H121" s="468"/>
      <c r="I121" s="468"/>
      <c r="J121" s="443"/>
      <c r="K121" s="443"/>
      <c r="L121" s="468"/>
      <c r="M121" s="468"/>
      <c r="N121" s="468"/>
      <c r="O121" s="468"/>
      <c r="P121" s="468"/>
      <c r="Q121" s="468"/>
      <c r="R121" s="467"/>
      <c r="S121" s="466"/>
      <c r="T121" s="476"/>
      <c r="U121" s="475"/>
      <c r="V121" s="474"/>
      <c r="W121" s="465"/>
      <c r="X121" s="460"/>
      <c r="Y121" s="460"/>
      <c r="Z121" s="460"/>
      <c r="AA121" s="460"/>
      <c r="AB121" s="460"/>
      <c r="AC121" s="460"/>
      <c r="AD121" s="460"/>
      <c r="AE121" s="460"/>
    </row>
    <row r="122" spans="1:31" s="459" customFormat="1" ht="15.75" customHeight="1">
      <c r="A122" s="464" t="s">
        <v>1345</v>
      </c>
      <c r="B122" s="464"/>
      <c r="C122" s="464" t="s">
        <v>1175</v>
      </c>
      <c r="D122" s="464"/>
      <c r="E122" s="463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461"/>
      <c r="S122" s="461"/>
      <c r="T122" s="461"/>
      <c r="U122" s="461">
        <v>-95</v>
      </c>
      <c r="V122" s="466"/>
      <c r="W122" s="465"/>
      <c r="X122" s="460"/>
      <c r="Y122" s="460"/>
      <c r="Z122" s="460"/>
      <c r="AA122" s="460"/>
      <c r="AB122" s="460"/>
      <c r="AC122" s="460"/>
      <c r="AD122" s="460"/>
      <c r="AE122" s="460"/>
    </row>
    <row r="123" spans="1:31" s="459" customFormat="1" ht="15.75" customHeight="1">
      <c r="A123" s="472" t="s">
        <v>1344</v>
      </c>
      <c r="B123" s="464"/>
      <c r="C123" s="464" t="s">
        <v>1168</v>
      </c>
      <c r="D123" s="464"/>
      <c r="E123" s="463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462"/>
      <c r="R123" s="461"/>
      <c r="S123" s="461"/>
      <c r="T123" s="461"/>
      <c r="U123" s="461"/>
      <c r="V123" s="461">
        <v>1</v>
      </c>
      <c r="W123" s="473"/>
      <c r="X123" s="460"/>
      <c r="Y123" s="460"/>
      <c r="Z123" s="460"/>
      <c r="AA123" s="460"/>
      <c r="AB123" s="460"/>
      <c r="AC123" s="460"/>
      <c r="AD123" s="460"/>
      <c r="AE123" s="460"/>
    </row>
    <row r="124" spans="1:31" s="459" customFormat="1" ht="15.75" customHeight="1">
      <c r="A124" s="472" t="s">
        <v>1343</v>
      </c>
      <c r="B124" s="456"/>
      <c r="C124" s="456" t="s">
        <v>1170</v>
      </c>
      <c r="D124" s="456"/>
      <c r="E124" s="458"/>
      <c r="F124" s="457"/>
      <c r="G124" s="457"/>
      <c r="H124" s="457"/>
      <c r="I124" s="457"/>
      <c r="J124" s="457"/>
      <c r="K124" s="457"/>
      <c r="L124" s="457"/>
      <c r="M124" s="457"/>
      <c r="N124" s="457"/>
      <c r="O124" s="457"/>
      <c r="P124" s="457"/>
      <c r="Q124" s="457"/>
      <c r="R124" s="452"/>
      <c r="S124" s="452"/>
      <c r="T124" s="452"/>
      <c r="U124" s="452"/>
      <c r="V124" s="452">
        <v>4</v>
      </c>
      <c r="W124" s="465"/>
      <c r="X124" s="444"/>
      <c r="Y124" s="460"/>
      <c r="Z124" s="460"/>
      <c r="AA124" s="460"/>
      <c r="AB124" s="460"/>
      <c r="AC124" s="460"/>
      <c r="AD124" s="460"/>
      <c r="AE124" s="460"/>
    </row>
    <row r="125" spans="1:31" s="459" customFormat="1" ht="15.75" customHeight="1">
      <c r="A125" s="472" t="s">
        <v>1464</v>
      </c>
      <c r="B125" s="456"/>
      <c r="C125" s="456" t="s">
        <v>1176</v>
      </c>
      <c r="D125" s="456"/>
      <c r="E125" s="458"/>
      <c r="F125" s="457"/>
      <c r="G125" s="457"/>
      <c r="H125" s="457"/>
      <c r="I125" s="457"/>
      <c r="J125" s="457"/>
      <c r="K125" s="457"/>
      <c r="L125" s="457"/>
      <c r="M125" s="457"/>
      <c r="N125" s="457"/>
      <c r="O125" s="457"/>
      <c r="P125" s="457"/>
      <c r="Q125" s="457"/>
      <c r="R125" s="452"/>
      <c r="S125" s="452"/>
      <c r="T125" s="452"/>
      <c r="U125" s="452"/>
      <c r="V125" s="452">
        <v>5</v>
      </c>
      <c r="W125" s="465"/>
      <c r="X125" s="444"/>
      <c r="Y125" s="460"/>
      <c r="Z125" s="460"/>
      <c r="AA125" s="460"/>
      <c r="AB125" s="460"/>
      <c r="AC125" s="460"/>
      <c r="AD125" s="460"/>
      <c r="AE125" s="460"/>
    </row>
    <row r="126" spans="1:31" s="459" customFormat="1" ht="15.75" customHeight="1">
      <c r="A126" s="438"/>
      <c r="B126" s="438"/>
      <c r="C126" s="471"/>
      <c r="D126" s="471"/>
      <c r="E126" s="437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66"/>
      <c r="S126" s="466"/>
      <c r="T126" s="466"/>
      <c r="U126" s="466"/>
      <c r="V126" s="466"/>
      <c r="W126" s="465"/>
      <c r="X126" s="460"/>
      <c r="Y126" s="460"/>
      <c r="Z126" s="460"/>
      <c r="AA126" s="460"/>
      <c r="AB126" s="460"/>
      <c r="AC126" s="460"/>
      <c r="AD126" s="460"/>
      <c r="AE126" s="460"/>
    </row>
    <row r="127" spans="1:31" s="459" customFormat="1" ht="15.75" customHeight="1">
      <c r="A127" s="451" t="s">
        <v>1342</v>
      </c>
      <c r="B127" s="470"/>
      <c r="C127" s="470" t="s">
        <v>1177</v>
      </c>
      <c r="D127" s="470"/>
      <c r="E127" s="449"/>
      <c r="F127" s="448"/>
      <c r="G127" s="448"/>
      <c r="H127" s="448"/>
      <c r="I127" s="448"/>
      <c r="J127" s="448"/>
      <c r="K127" s="448"/>
      <c r="L127" s="448"/>
      <c r="M127" s="448"/>
      <c r="N127" s="448"/>
      <c r="O127" s="448"/>
      <c r="P127" s="448"/>
      <c r="Q127" s="448"/>
      <c r="R127" s="466"/>
      <c r="S127" s="466"/>
      <c r="T127" s="466"/>
      <c r="U127" s="466"/>
      <c r="V127" s="466"/>
      <c r="W127" s="465"/>
      <c r="X127" s="460"/>
      <c r="Y127" s="460"/>
      <c r="Z127" s="460"/>
      <c r="AA127" s="460"/>
      <c r="AB127" s="460"/>
      <c r="AC127" s="460"/>
      <c r="AD127" s="460"/>
      <c r="AE127" s="460"/>
    </row>
    <row r="128" spans="1:31" s="459" customFormat="1" ht="15.75" customHeight="1">
      <c r="A128" s="440" t="s">
        <v>1341</v>
      </c>
      <c r="B128" s="440"/>
      <c r="C128" s="469" t="s">
        <v>1340</v>
      </c>
      <c r="D128" s="469"/>
      <c r="E128" s="460" t="s">
        <v>1339</v>
      </c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8"/>
      <c r="R128" s="467"/>
      <c r="S128" s="467"/>
      <c r="T128" s="466"/>
      <c r="U128" s="467"/>
      <c r="V128" s="466"/>
      <c r="W128" s="465"/>
      <c r="X128" s="460"/>
      <c r="Y128" s="460"/>
      <c r="Z128" s="460"/>
      <c r="AA128" s="460"/>
      <c r="AB128" s="460"/>
      <c r="AC128" s="460"/>
      <c r="AD128" s="460"/>
      <c r="AE128" s="460"/>
    </row>
    <row r="129" spans="1:31" s="459" customFormat="1" ht="15.75" customHeight="1">
      <c r="A129" s="464" t="s">
        <v>1338</v>
      </c>
      <c r="B129" s="464"/>
      <c r="C129" s="464" t="s">
        <v>1337</v>
      </c>
      <c r="D129" s="464"/>
      <c r="E129" s="463" t="s">
        <v>1336</v>
      </c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462"/>
      <c r="R129" s="461"/>
      <c r="S129" s="461"/>
      <c r="T129" s="461"/>
      <c r="U129" s="461"/>
      <c r="V129" s="461"/>
      <c r="W129" s="461">
        <v>-800</v>
      </c>
      <c r="X129" s="460"/>
      <c r="Y129" s="460"/>
      <c r="Z129" s="460"/>
      <c r="AA129" s="460"/>
      <c r="AB129" s="460"/>
      <c r="AC129" s="460"/>
      <c r="AD129" s="460"/>
      <c r="AE129" s="460"/>
    </row>
    <row r="130" spans="1:31" s="459" customFormat="1" ht="15.75" customHeight="1">
      <c r="A130" s="456" t="s">
        <v>1335</v>
      </c>
      <c r="B130" s="456"/>
      <c r="C130" s="456" t="s">
        <v>1334</v>
      </c>
      <c r="D130" s="456"/>
      <c r="E130" s="458"/>
      <c r="F130" s="457"/>
      <c r="G130" s="457"/>
      <c r="H130" s="457"/>
      <c r="I130" s="457"/>
      <c r="J130" s="457"/>
      <c r="K130" s="457"/>
      <c r="L130" s="457"/>
      <c r="M130" s="457"/>
      <c r="N130" s="457"/>
      <c r="O130" s="457"/>
      <c r="P130" s="457"/>
      <c r="Q130" s="457"/>
      <c r="R130" s="452"/>
      <c r="S130" s="452"/>
      <c r="T130" s="452"/>
      <c r="U130" s="452"/>
      <c r="V130" s="452"/>
      <c r="W130" s="452">
        <v>-801</v>
      </c>
      <c r="X130" s="460"/>
      <c r="Y130" s="460"/>
      <c r="Z130" s="460"/>
      <c r="AA130" s="460"/>
      <c r="AB130" s="460"/>
      <c r="AC130" s="460"/>
      <c r="AD130" s="460"/>
      <c r="AE130" s="460"/>
    </row>
    <row r="131" spans="1:31" s="459" customFormat="1" ht="15.75" customHeight="1">
      <c r="A131" s="456" t="s">
        <v>1333</v>
      </c>
      <c r="B131" s="456"/>
      <c r="C131" s="456" t="s">
        <v>1332</v>
      </c>
      <c r="D131" s="456"/>
      <c r="E131" s="458"/>
      <c r="F131" s="457"/>
      <c r="G131" s="457"/>
      <c r="H131" s="457"/>
      <c r="I131" s="457"/>
      <c r="J131" s="457"/>
      <c r="K131" s="457"/>
      <c r="L131" s="457"/>
      <c r="M131" s="457"/>
      <c r="N131" s="457"/>
      <c r="O131" s="457"/>
      <c r="P131" s="457"/>
      <c r="Q131" s="457"/>
      <c r="R131" s="452"/>
      <c r="S131" s="452"/>
      <c r="T131" s="452"/>
      <c r="U131" s="452"/>
      <c r="V131" s="452"/>
      <c r="W131" s="452">
        <v>-802</v>
      </c>
      <c r="X131" s="460"/>
      <c r="Y131" s="460"/>
      <c r="Z131" s="460"/>
      <c r="AA131" s="460"/>
      <c r="AB131" s="460"/>
      <c r="AC131" s="460"/>
      <c r="AD131" s="460"/>
      <c r="AE131" s="460"/>
    </row>
    <row r="132" spans="1:31" s="459" customFormat="1" ht="15.75" customHeight="1">
      <c r="A132" s="456" t="s">
        <v>1331</v>
      </c>
      <c r="B132" s="456"/>
      <c r="C132" s="456" t="s">
        <v>1330</v>
      </c>
      <c r="D132" s="456"/>
      <c r="E132" s="458"/>
      <c r="F132" s="457"/>
      <c r="G132" s="457"/>
      <c r="H132" s="457"/>
      <c r="I132" s="457"/>
      <c r="J132" s="457"/>
      <c r="K132" s="457"/>
      <c r="L132" s="457"/>
      <c r="M132" s="457"/>
      <c r="N132" s="457"/>
      <c r="O132" s="457"/>
      <c r="P132" s="457"/>
      <c r="Q132" s="457"/>
      <c r="R132" s="452"/>
      <c r="S132" s="452"/>
      <c r="T132" s="452"/>
      <c r="U132" s="452"/>
      <c r="V132" s="452"/>
      <c r="W132" s="452">
        <v>-803</v>
      </c>
      <c r="X132" s="460"/>
      <c r="Y132" s="460"/>
      <c r="Z132" s="460"/>
      <c r="AA132" s="460"/>
      <c r="AB132" s="460"/>
      <c r="AC132" s="460"/>
      <c r="AD132" s="460"/>
      <c r="AE132" s="460"/>
    </row>
    <row r="133" spans="1:31" s="441" customFormat="1" ht="15.75" customHeight="1">
      <c r="A133" s="456" t="s">
        <v>1329</v>
      </c>
      <c r="B133" s="456"/>
      <c r="C133" s="456" t="s">
        <v>1328</v>
      </c>
      <c r="D133" s="456"/>
      <c r="E133" s="458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452"/>
      <c r="S133" s="452"/>
      <c r="T133" s="452"/>
      <c r="U133" s="452"/>
      <c r="V133" s="452"/>
      <c r="W133" s="452">
        <v>-804</v>
      </c>
      <c r="X133" s="442"/>
      <c r="Y133" s="442"/>
      <c r="Z133" s="442"/>
      <c r="AA133" s="442"/>
      <c r="AB133" s="442"/>
      <c r="AC133" s="442"/>
      <c r="AD133" s="442"/>
      <c r="AE133" s="442"/>
    </row>
    <row r="134" spans="1:31" ht="15.75" customHeight="1">
      <c r="A134" s="456" t="s">
        <v>1327</v>
      </c>
      <c r="B134" s="456"/>
      <c r="C134" s="456" t="s">
        <v>1326</v>
      </c>
      <c r="D134" s="456"/>
      <c r="E134" s="458"/>
      <c r="F134" s="457"/>
      <c r="G134" s="457"/>
      <c r="H134" s="457"/>
      <c r="I134" s="457"/>
      <c r="J134" s="457"/>
      <c r="K134" s="457"/>
      <c r="L134" s="457"/>
      <c r="M134" s="457"/>
      <c r="N134" s="457"/>
      <c r="O134" s="457"/>
      <c r="P134" s="457"/>
      <c r="Q134" s="457"/>
      <c r="R134" s="452"/>
      <c r="S134" s="452"/>
      <c r="T134" s="452"/>
      <c r="U134" s="452"/>
      <c r="V134" s="452"/>
      <c r="W134" s="452">
        <v>-805</v>
      </c>
      <c r="X134" s="434"/>
      <c r="Y134" s="434"/>
      <c r="Z134" s="429"/>
      <c r="AA134" s="429"/>
      <c r="AB134" s="429"/>
      <c r="AC134" s="429"/>
      <c r="AD134" s="429"/>
      <c r="AE134" s="429"/>
    </row>
    <row r="135" spans="1:31" ht="15.75" customHeight="1">
      <c r="A135" s="456" t="s">
        <v>1325</v>
      </c>
      <c r="B135" s="455"/>
      <c r="C135" s="455" t="s">
        <v>1324</v>
      </c>
      <c r="D135" s="455"/>
      <c r="E135" s="454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2"/>
      <c r="S135" s="452"/>
      <c r="T135" s="452"/>
      <c r="U135" s="452"/>
      <c r="V135" s="452"/>
      <c r="W135" s="452">
        <v>-806</v>
      </c>
      <c r="X135" s="434"/>
      <c r="Y135" s="434"/>
      <c r="Z135" s="429"/>
      <c r="AA135" s="429"/>
      <c r="AB135" s="429"/>
      <c r="AC135" s="429"/>
      <c r="AD135" s="429"/>
      <c r="AE135" s="429"/>
    </row>
    <row r="136" spans="1:31" ht="15.75" customHeight="1">
      <c r="A136" s="451" t="s">
        <v>1323</v>
      </c>
      <c r="B136" s="450"/>
      <c r="C136" s="450"/>
      <c r="D136" s="450"/>
      <c r="E136" s="449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34"/>
      <c r="Y136" s="434"/>
      <c r="Z136" s="429"/>
      <c r="AA136" s="429"/>
      <c r="AB136" s="429"/>
      <c r="AC136" s="429"/>
      <c r="AD136" s="429"/>
      <c r="AE136" s="429"/>
    </row>
    <row r="137" spans="1:31" ht="15.75" customHeight="1">
      <c r="A137" s="450" t="s">
        <v>1322</v>
      </c>
      <c r="B137" s="450"/>
      <c r="C137" s="450" t="s">
        <v>1178</v>
      </c>
      <c r="D137" s="434"/>
      <c r="E137" s="449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34"/>
      <c r="Y137" s="434"/>
      <c r="Z137" s="429"/>
      <c r="AA137" s="429"/>
      <c r="AB137" s="429"/>
      <c r="AC137" s="429"/>
      <c r="AD137" s="429"/>
      <c r="AE137" s="429"/>
    </row>
    <row r="138" spans="1:31" ht="15.75" customHeight="1">
      <c r="A138" s="450" t="s">
        <v>1321</v>
      </c>
      <c r="B138" s="450"/>
      <c r="C138" s="450" t="s">
        <v>1180</v>
      </c>
      <c r="D138" s="444"/>
      <c r="E138" s="449"/>
      <c r="F138" s="448"/>
      <c r="G138" s="448"/>
      <c r="H138" s="448"/>
      <c r="I138" s="448"/>
      <c r="J138" s="448"/>
      <c r="K138" s="448"/>
      <c r="L138" s="448"/>
      <c r="M138" s="448"/>
      <c r="N138" s="448"/>
      <c r="O138" s="448"/>
      <c r="P138" s="448"/>
      <c r="Q138" s="448"/>
      <c r="R138" s="448"/>
      <c r="S138" s="448"/>
      <c r="T138" s="448"/>
      <c r="U138" s="448"/>
      <c r="V138" s="448"/>
      <c r="W138" s="448"/>
      <c r="X138" s="434"/>
      <c r="Y138" s="434"/>
      <c r="Z138" s="429"/>
      <c r="AA138" s="429"/>
      <c r="AB138" s="429"/>
      <c r="AC138" s="429"/>
      <c r="AD138" s="429"/>
      <c r="AE138" s="429"/>
    </row>
    <row r="139" spans="1:31" ht="15.75" customHeight="1">
      <c r="A139" s="450" t="s">
        <v>1320</v>
      </c>
      <c r="B139" s="450"/>
      <c r="C139" s="450" t="s">
        <v>1181</v>
      </c>
      <c r="D139" s="434"/>
      <c r="E139" s="449"/>
      <c r="F139" s="448"/>
      <c r="G139" s="448"/>
      <c r="H139" s="448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34"/>
      <c r="Y139" s="434"/>
      <c r="Z139" s="429"/>
      <c r="AA139" s="429"/>
      <c r="AB139" s="429"/>
      <c r="AC139" s="429"/>
      <c r="AD139" s="429"/>
      <c r="AE139" s="429"/>
    </row>
    <row r="140" spans="1:31" s="441" customFormat="1" ht="15.75" customHeight="1">
      <c r="A140" s="431" t="s">
        <v>1319</v>
      </c>
      <c r="B140" s="431"/>
      <c r="C140" s="431" t="s">
        <v>1182</v>
      </c>
      <c r="D140" s="434"/>
      <c r="E140" s="449"/>
      <c r="F140" s="448"/>
      <c r="G140" s="448"/>
      <c r="H140" s="448"/>
      <c r="I140" s="448"/>
      <c r="J140" s="448"/>
      <c r="K140" s="448"/>
      <c r="L140" s="448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37"/>
      <c r="Y140" s="437"/>
      <c r="Z140" s="442"/>
      <c r="AA140" s="442"/>
      <c r="AB140" s="442"/>
      <c r="AC140" s="442"/>
      <c r="AD140" s="442"/>
      <c r="AE140" s="442"/>
    </row>
    <row r="141" spans="1:31" s="445" customFormat="1" ht="22.5" customHeight="1">
      <c r="A141" s="431" t="s">
        <v>1318</v>
      </c>
      <c r="B141" s="431"/>
      <c r="C141" s="431" t="s">
        <v>1183</v>
      </c>
      <c r="D141" s="434"/>
      <c r="E141" s="449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7"/>
      <c r="Y141" s="447"/>
      <c r="Z141" s="446"/>
      <c r="AA141" s="446"/>
      <c r="AB141" s="446"/>
      <c r="AC141" s="446"/>
      <c r="AD141" s="446"/>
      <c r="AE141" s="446"/>
    </row>
    <row r="142" spans="1:31" s="441" customFormat="1" ht="15.75" customHeight="1">
      <c r="A142" s="440" t="s">
        <v>1317</v>
      </c>
      <c r="B142" s="440"/>
      <c r="C142" s="440" t="s">
        <v>1186</v>
      </c>
      <c r="D142" s="437"/>
      <c r="E142" s="444"/>
      <c r="F142" s="443"/>
      <c r="G142" s="443"/>
      <c r="H142" s="443"/>
      <c r="I142" s="436"/>
      <c r="J142" s="436"/>
      <c r="K142" s="436"/>
      <c r="L142" s="436"/>
      <c r="M142" s="436"/>
      <c r="N142" s="436"/>
      <c r="O142" s="436"/>
      <c r="P142" s="436"/>
      <c r="Q142" s="436"/>
      <c r="R142" s="436"/>
      <c r="S142" s="436"/>
      <c r="T142" s="436"/>
      <c r="U142" s="436"/>
      <c r="V142" s="436"/>
      <c r="W142" s="436"/>
      <c r="X142" s="437"/>
      <c r="Y142" s="437"/>
      <c r="Z142" s="442"/>
      <c r="AA142" s="442"/>
      <c r="AB142" s="442"/>
      <c r="AC142" s="442"/>
      <c r="AD142" s="442"/>
      <c r="AE142" s="442"/>
    </row>
    <row r="143" spans="1:31" ht="15.75" customHeight="1">
      <c r="A143" s="586" t="s">
        <v>1316</v>
      </c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434"/>
      <c r="Z143" s="429"/>
      <c r="AA143" s="429"/>
      <c r="AB143" s="429"/>
      <c r="AC143" s="429"/>
      <c r="AD143" s="429"/>
      <c r="AE143" s="429"/>
    </row>
    <row r="144" spans="1:31" ht="15.75" customHeight="1">
      <c r="A144" s="440" t="s">
        <v>1315</v>
      </c>
      <c r="B144" s="439"/>
      <c r="C144" s="438" t="s">
        <v>1187</v>
      </c>
      <c r="D144" s="437"/>
      <c r="E144" s="437"/>
      <c r="F144" s="436"/>
      <c r="G144" s="436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  <c r="T144" s="436"/>
      <c r="U144" s="436"/>
      <c r="V144" s="436"/>
      <c r="W144" s="436"/>
      <c r="X144" s="434"/>
      <c r="Y144" s="434"/>
      <c r="Z144" s="429"/>
      <c r="AA144" s="429"/>
      <c r="AB144" s="429"/>
      <c r="AC144" s="429"/>
      <c r="AD144" s="429"/>
      <c r="AE144" s="429"/>
    </row>
    <row r="145" spans="1:44" ht="15.75" customHeight="1">
      <c r="A145" s="435" t="s">
        <v>1314</v>
      </c>
      <c r="B145" s="431"/>
      <c r="C145" s="431"/>
      <c r="D145" s="431"/>
      <c r="E145" s="434"/>
      <c r="F145" s="433"/>
      <c r="G145" s="433"/>
      <c r="H145" s="433"/>
      <c r="I145" s="433"/>
      <c r="J145" s="433"/>
      <c r="K145" s="433"/>
      <c r="L145" s="433"/>
      <c r="M145" s="433"/>
      <c r="N145" s="433"/>
      <c r="O145" s="433"/>
      <c r="P145" s="433"/>
      <c r="Q145" s="433"/>
      <c r="R145" s="433"/>
      <c r="S145" s="433"/>
      <c r="T145" s="433"/>
      <c r="U145" s="433"/>
      <c r="V145" s="433"/>
      <c r="W145" s="433"/>
      <c r="X145" s="434"/>
      <c r="Y145" s="434"/>
      <c r="Z145" s="429"/>
      <c r="AA145" s="429"/>
      <c r="AB145" s="429"/>
      <c r="AC145" s="429"/>
      <c r="AD145" s="429"/>
      <c r="AE145" s="429"/>
      <c r="AF145" s="429"/>
      <c r="AG145" s="429"/>
      <c r="AH145" s="429"/>
      <c r="AI145" s="429"/>
      <c r="AJ145" s="429"/>
      <c r="AK145" s="429"/>
      <c r="AL145" s="429"/>
      <c r="AM145" s="429"/>
      <c r="AN145" s="429"/>
      <c r="AO145" s="429"/>
      <c r="AP145" s="429"/>
      <c r="AQ145" s="429"/>
      <c r="AR145" s="429"/>
    </row>
    <row r="146" spans="1:44" ht="15.75" customHeight="1">
      <c r="A146" s="431"/>
      <c r="B146" s="431"/>
      <c r="C146" s="431"/>
      <c r="D146" s="434"/>
      <c r="E146" s="434"/>
      <c r="F146" s="433"/>
      <c r="G146" s="433"/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3"/>
      <c r="S146" s="433"/>
      <c r="T146" s="433"/>
      <c r="U146" s="433"/>
      <c r="V146" s="433"/>
      <c r="W146" s="433"/>
      <c r="X146" s="434"/>
      <c r="Y146" s="434"/>
      <c r="Z146" s="429"/>
      <c r="AA146" s="429"/>
      <c r="AB146" s="429"/>
      <c r="AC146" s="429"/>
      <c r="AD146" s="429"/>
      <c r="AE146" s="429"/>
      <c r="AF146" s="429"/>
      <c r="AG146" s="429"/>
      <c r="AH146" s="429"/>
      <c r="AI146" s="429"/>
      <c r="AJ146" s="429"/>
      <c r="AK146" s="429"/>
      <c r="AL146" s="429"/>
      <c r="AM146" s="429"/>
      <c r="AN146" s="429"/>
      <c r="AO146" s="429"/>
      <c r="AP146" s="429"/>
      <c r="AQ146" s="429"/>
      <c r="AR146" s="429"/>
    </row>
    <row r="147" spans="1:44" ht="15.75" customHeight="1">
      <c r="A147" s="431"/>
      <c r="B147" s="431"/>
      <c r="C147" s="431"/>
      <c r="D147" s="431"/>
      <c r="E147" s="434"/>
      <c r="F147" s="433"/>
      <c r="G147" s="433"/>
      <c r="H147" s="433"/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4"/>
      <c r="Y147" s="434"/>
      <c r="Z147" s="429"/>
      <c r="AA147" s="429"/>
      <c r="AB147" s="429"/>
      <c r="AC147" s="429"/>
      <c r="AD147" s="429"/>
      <c r="AE147" s="429"/>
      <c r="AF147" s="429"/>
      <c r="AG147" s="429"/>
      <c r="AH147" s="429"/>
      <c r="AI147" s="429"/>
      <c r="AJ147" s="429"/>
      <c r="AK147" s="429"/>
      <c r="AL147" s="429"/>
      <c r="AM147" s="429"/>
      <c r="AN147" s="429"/>
      <c r="AO147" s="429"/>
      <c r="AP147" s="429"/>
      <c r="AQ147" s="429"/>
      <c r="AR147" s="429"/>
    </row>
    <row r="148" spans="1:44" ht="15.75" customHeight="1">
      <c r="A148" s="431"/>
      <c r="B148" s="431"/>
      <c r="C148" s="431"/>
      <c r="D148" s="431"/>
      <c r="E148" s="434"/>
      <c r="F148" s="433"/>
      <c r="G148" s="433"/>
      <c r="H148" s="433"/>
      <c r="I148" s="433"/>
      <c r="J148" s="433"/>
      <c r="K148" s="433"/>
      <c r="L148" s="433"/>
      <c r="M148" s="433"/>
      <c r="N148" s="433"/>
      <c r="O148" s="433"/>
      <c r="P148" s="433"/>
      <c r="Q148" s="433"/>
      <c r="R148" s="433"/>
      <c r="S148" s="433"/>
      <c r="T148" s="433"/>
      <c r="U148" s="433"/>
      <c r="V148" s="433"/>
      <c r="W148" s="433"/>
      <c r="X148" s="429"/>
      <c r="Y148" s="429"/>
      <c r="Z148" s="429"/>
      <c r="AA148" s="429"/>
      <c r="AB148" s="429"/>
      <c r="AC148" s="429"/>
      <c r="AD148" s="429"/>
      <c r="AE148" s="429"/>
      <c r="AF148" s="429"/>
      <c r="AG148" s="429"/>
      <c r="AH148" s="429"/>
      <c r="AI148" s="429"/>
      <c r="AJ148" s="429"/>
      <c r="AK148" s="429"/>
      <c r="AL148" s="429"/>
      <c r="AM148" s="429"/>
      <c r="AN148" s="429"/>
      <c r="AO148" s="429"/>
      <c r="AP148" s="429"/>
      <c r="AQ148" s="429"/>
      <c r="AR148" s="429"/>
    </row>
    <row r="149" spans="1:44" ht="15.75" customHeight="1">
      <c r="A149" s="431"/>
      <c r="B149" s="431"/>
      <c r="C149" s="431"/>
      <c r="D149" s="431"/>
      <c r="E149" s="434"/>
      <c r="F149" s="433"/>
      <c r="G149" s="433"/>
      <c r="H149" s="433"/>
      <c r="I149" s="433"/>
      <c r="J149" s="433"/>
      <c r="K149" s="433"/>
      <c r="L149" s="433"/>
      <c r="M149" s="433"/>
      <c r="N149" s="433"/>
      <c r="O149" s="433"/>
      <c r="P149" s="433"/>
      <c r="Q149" s="433"/>
      <c r="R149" s="433"/>
      <c r="S149" s="433"/>
      <c r="T149" s="433"/>
      <c r="U149" s="433"/>
      <c r="V149" s="433"/>
      <c r="W149" s="433"/>
      <c r="X149" s="429"/>
      <c r="Y149" s="429"/>
      <c r="Z149" s="429"/>
      <c r="AA149" s="429"/>
      <c r="AB149" s="429"/>
      <c r="AC149" s="429"/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  <c r="AN149" s="429"/>
      <c r="AO149" s="429"/>
      <c r="AP149" s="429"/>
      <c r="AQ149" s="429"/>
      <c r="AR149" s="429"/>
    </row>
    <row r="150" spans="1:44" ht="15.75" customHeight="1">
      <c r="A150" s="432"/>
      <c r="B150" s="432"/>
      <c r="C150" s="430"/>
      <c r="D150" s="430"/>
      <c r="E150" s="429"/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8"/>
      <c r="X150" s="429"/>
      <c r="Y150" s="429"/>
      <c r="Z150" s="429"/>
      <c r="AA150" s="429"/>
      <c r="AB150" s="429"/>
      <c r="AC150" s="429"/>
      <c r="AD150" s="429"/>
      <c r="AE150" s="429"/>
      <c r="AF150" s="429"/>
      <c r="AG150" s="429"/>
      <c r="AH150" s="429"/>
      <c r="AI150" s="429"/>
      <c r="AJ150" s="429"/>
      <c r="AK150" s="429"/>
      <c r="AL150" s="429"/>
      <c r="AM150" s="429"/>
      <c r="AN150" s="429"/>
      <c r="AO150" s="429"/>
      <c r="AP150" s="429"/>
      <c r="AQ150" s="429"/>
      <c r="AR150" s="429"/>
    </row>
    <row r="151" spans="1:44" ht="15.75" customHeight="1">
      <c r="A151" s="431"/>
      <c r="B151" s="431"/>
      <c r="C151" s="430"/>
      <c r="D151" s="430"/>
      <c r="E151" s="429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9"/>
      <c r="Y151" s="429"/>
      <c r="Z151" s="429"/>
      <c r="AA151" s="429"/>
      <c r="AB151" s="429"/>
      <c r="AC151" s="429"/>
      <c r="AD151" s="429"/>
      <c r="AE151" s="429"/>
      <c r="AF151" s="429"/>
      <c r="AG151" s="429"/>
      <c r="AH151" s="429"/>
      <c r="AI151" s="429"/>
      <c r="AJ151" s="429"/>
      <c r="AK151" s="429"/>
      <c r="AL151" s="429"/>
      <c r="AM151" s="429"/>
      <c r="AN151" s="429"/>
      <c r="AO151" s="429"/>
      <c r="AP151" s="429"/>
      <c r="AQ151" s="429"/>
      <c r="AR151" s="429"/>
    </row>
    <row r="152" spans="1:44" ht="15.75" customHeight="1">
      <c r="A152" s="431"/>
      <c r="B152" s="431"/>
      <c r="C152" s="430"/>
      <c r="D152" s="430"/>
      <c r="E152" s="429"/>
      <c r="F152" s="428"/>
      <c r="G152" s="428"/>
      <c r="H152" s="428"/>
      <c r="I152" s="428"/>
      <c r="J152" s="428"/>
      <c r="K152" s="428"/>
      <c r="L152" s="428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8"/>
      <c r="X152" s="429"/>
      <c r="Y152" s="429"/>
      <c r="Z152" s="429"/>
      <c r="AA152" s="429"/>
      <c r="AB152" s="429"/>
      <c r="AC152" s="429"/>
      <c r="AD152" s="429"/>
      <c r="AE152" s="429"/>
      <c r="AF152" s="429"/>
      <c r="AG152" s="429"/>
      <c r="AH152" s="429"/>
      <c r="AI152" s="429"/>
      <c r="AJ152" s="429"/>
      <c r="AK152" s="429"/>
      <c r="AL152" s="429"/>
      <c r="AM152" s="429"/>
      <c r="AN152" s="429"/>
      <c r="AO152" s="429"/>
      <c r="AP152" s="429"/>
      <c r="AQ152" s="429"/>
      <c r="AR152" s="429"/>
    </row>
    <row r="153" spans="1:44" ht="15.75" customHeight="1">
      <c r="A153" s="431"/>
      <c r="B153" s="431"/>
      <c r="C153" s="430"/>
      <c r="D153" s="430"/>
      <c r="E153" s="429"/>
      <c r="F153" s="428"/>
      <c r="G153" s="428"/>
      <c r="H153" s="428"/>
      <c r="I153" s="428"/>
      <c r="J153" s="428"/>
      <c r="K153" s="428"/>
      <c r="L153" s="428"/>
      <c r="M153" s="428"/>
      <c r="N153" s="428"/>
      <c r="O153" s="428"/>
      <c r="P153" s="428"/>
      <c r="Q153" s="428"/>
      <c r="R153" s="428"/>
      <c r="S153" s="428"/>
      <c r="T153" s="428"/>
      <c r="U153" s="428"/>
      <c r="V153" s="428"/>
      <c r="W153" s="428"/>
      <c r="X153" s="429"/>
      <c r="Y153" s="429"/>
      <c r="Z153" s="429"/>
      <c r="AA153" s="429"/>
      <c r="AB153" s="429"/>
      <c r="AC153" s="429"/>
      <c r="AD153" s="429"/>
      <c r="AE153" s="429"/>
      <c r="AF153" s="429"/>
      <c r="AG153" s="429"/>
      <c r="AH153" s="429"/>
      <c r="AI153" s="429"/>
      <c r="AJ153" s="429"/>
      <c r="AK153" s="429"/>
      <c r="AL153" s="429"/>
      <c r="AM153" s="429"/>
      <c r="AN153" s="429"/>
      <c r="AO153" s="429"/>
      <c r="AP153" s="429"/>
      <c r="AQ153" s="429"/>
      <c r="AR153" s="429"/>
    </row>
    <row r="154" spans="1:44" ht="15.75" customHeight="1">
      <c r="A154" s="431"/>
      <c r="B154" s="431"/>
      <c r="C154" s="430"/>
      <c r="D154" s="430"/>
      <c r="E154" s="429"/>
      <c r="F154" s="428"/>
      <c r="G154" s="428"/>
      <c r="H154" s="428"/>
      <c r="I154" s="428"/>
      <c r="J154" s="428"/>
      <c r="K154" s="428"/>
      <c r="L154" s="428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8"/>
      <c r="X154" s="429"/>
      <c r="Y154" s="429"/>
      <c r="Z154" s="429"/>
      <c r="AA154" s="429"/>
      <c r="AB154" s="429"/>
      <c r="AC154" s="429"/>
      <c r="AD154" s="429"/>
      <c r="AE154" s="429"/>
      <c r="AF154" s="429"/>
      <c r="AG154" s="429"/>
      <c r="AH154" s="429"/>
      <c r="AI154" s="429"/>
      <c r="AJ154" s="429"/>
      <c r="AK154" s="429"/>
      <c r="AL154" s="429"/>
      <c r="AM154" s="429"/>
      <c r="AN154" s="429"/>
      <c r="AO154" s="429"/>
      <c r="AP154" s="429"/>
      <c r="AQ154" s="429"/>
      <c r="AR154" s="429"/>
    </row>
    <row r="155" spans="1:44" ht="15.75" customHeight="1">
      <c r="A155" s="431"/>
      <c r="B155" s="431"/>
      <c r="C155" s="430"/>
      <c r="D155" s="430"/>
      <c r="E155" s="429"/>
      <c r="F155" s="428"/>
      <c r="G155" s="428"/>
      <c r="H155" s="428"/>
      <c r="I155" s="428"/>
      <c r="J155" s="428"/>
      <c r="K155" s="428"/>
      <c r="L155" s="428"/>
      <c r="M155" s="428"/>
      <c r="N155" s="428"/>
      <c r="O155" s="428"/>
      <c r="P155" s="428"/>
      <c r="Q155" s="428"/>
      <c r="R155" s="428"/>
      <c r="S155" s="428"/>
      <c r="T155" s="428"/>
      <c r="U155" s="428"/>
      <c r="V155" s="428"/>
      <c r="W155" s="428"/>
      <c r="X155" s="429"/>
      <c r="Y155" s="429"/>
      <c r="Z155" s="429"/>
      <c r="AA155" s="429"/>
      <c r="AB155" s="429"/>
      <c r="AC155" s="429"/>
      <c r="AD155" s="429"/>
      <c r="AE155" s="429"/>
      <c r="AF155" s="429"/>
      <c r="AG155" s="429"/>
      <c r="AH155" s="429"/>
      <c r="AI155" s="429"/>
      <c r="AJ155" s="429"/>
      <c r="AK155" s="429"/>
      <c r="AL155" s="429"/>
      <c r="AM155" s="429"/>
      <c r="AN155" s="429"/>
      <c r="AO155" s="429"/>
      <c r="AP155" s="429"/>
      <c r="AQ155" s="429"/>
      <c r="AR155" s="429"/>
    </row>
    <row r="156" spans="1:44" ht="15.75" customHeight="1">
      <c r="A156" s="431"/>
      <c r="B156" s="431"/>
      <c r="C156" s="430"/>
      <c r="D156" s="430"/>
      <c r="E156" s="429"/>
      <c r="F156" s="428"/>
      <c r="G156" s="428"/>
      <c r="H156" s="428"/>
      <c r="I156" s="428"/>
      <c r="J156" s="428"/>
      <c r="K156" s="428"/>
      <c r="L156" s="428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8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29"/>
      <c r="AH156" s="429"/>
      <c r="AI156" s="429"/>
      <c r="AJ156" s="429"/>
      <c r="AK156" s="429"/>
      <c r="AL156" s="429"/>
      <c r="AM156" s="429"/>
      <c r="AN156" s="429"/>
      <c r="AO156" s="429"/>
      <c r="AP156" s="429"/>
      <c r="AQ156" s="429"/>
      <c r="AR156" s="429"/>
    </row>
    <row r="157" spans="1:44" ht="15.75" customHeight="1">
      <c r="A157" s="431"/>
      <c r="B157" s="431"/>
      <c r="C157" s="430"/>
      <c r="D157" s="430"/>
      <c r="E157" s="429"/>
      <c r="F157" s="428"/>
      <c r="G157" s="428"/>
      <c r="H157" s="428"/>
      <c r="I157" s="428"/>
      <c r="J157" s="428"/>
      <c r="K157" s="428"/>
      <c r="L157" s="428"/>
      <c r="M157" s="428"/>
      <c r="N157" s="428"/>
      <c r="O157" s="428"/>
      <c r="P157" s="428"/>
      <c r="Q157" s="428"/>
      <c r="R157" s="428"/>
      <c r="S157" s="428"/>
      <c r="T157" s="428"/>
      <c r="U157" s="428"/>
      <c r="V157" s="428"/>
      <c r="W157" s="428"/>
      <c r="X157" s="429"/>
      <c r="Y157" s="429"/>
      <c r="Z157" s="429"/>
      <c r="AA157" s="429"/>
      <c r="AB157" s="429"/>
      <c r="AC157" s="429"/>
      <c r="AD157" s="429"/>
      <c r="AE157" s="429"/>
      <c r="AF157" s="429"/>
      <c r="AG157" s="429"/>
      <c r="AH157" s="429"/>
      <c r="AI157" s="429"/>
      <c r="AJ157" s="429"/>
      <c r="AK157" s="429"/>
      <c r="AL157" s="429"/>
      <c r="AM157" s="429"/>
      <c r="AN157" s="429"/>
      <c r="AO157" s="429"/>
      <c r="AP157" s="429"/>
      <c r="AQ157" s="429"/>
      <c r="AR157" s="429"/>
    </row>
    <row r="158" spans="1:44" ht="15.75" customHeight="1">
      <c r="A158" s="431"/>
      <c r="B158" s="431"/>
      <c r="C158" s="430"/>
      <c r="D158" s="430"/>
      <c r="E158" s="429"/>
      <c r="F158" s="428"/>
      <c r="G158" s="428"/>
      <c r="H158" s="428"/>
      <c r="I158" s="428"/>
      <c r="J158" s="428"/>
      <c r="K158" s="428"/>
      <c r="L158" s="428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8"/>
      <c r="X158" s="429"/>
      <c r="Y158" s="429"/>
      <c r="Z158" s="429"/>
      <c r="AA158" s="429"/>
      <c r="AB158" s="429"/>
      <c r="AC158" s="429"/>
      <c r="AD158" s="429"/>
      <c r="AE158" s="429"/>
      <c r="AF158" s="429"/>
      <c r="AG158" s="429"/>
      <c r="AH158" s="429"/>
      <c r="AI158" s="429"/>
      <c r="AJ158" s="429"/>
      <c r="AK158" s="429"/>
      <c r="AL158" s="429"/>
      <c r="AM158" s="429"/>
      <c r="AN158" s="429"/>
      <c r="AO158" s="429"/>
      <c r="AP158" s="429"/>
      <c r="AQ158" s="429"/>
      <c r="AR158" s="429"/>
    </row>
    <row r="159" spans="1:44" ht="15.75" customHeight="1">
      <c r="A159" s="431"/>
      <c r="B159" s="431"/>
      <c r="C159" s="430"/>
      <c r="D159" s="430"/>
      <c r="E159" s="429"/>
      <c r="F159" s="428"/>
      <c r="G159" s="428"/>
      <c r="H159" s="428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  <c r="S159" s="428"/>
      <c r="T159" s="428"/>
      <c r="U159" s="428"/>
      <c r="V159" s="428"/>
      <c r="W159" s="428"/>
      <c r="X159" s="429"/>
      <c r="Y159" s="429"/>
      <c r="Z159" s="429"/>
      <c r="AA159" s="429"/>
      <c r="AB159" s="429"/>
      <c r="AC159" s="429"/>
      <c r="AD159" s="429"/>
      <c r="AE159" s="429"/>
      <c r="AF159" s="429"/>
      <c r="AG159" s="429"/>
      <c r="AH159" s="429"/>
      <c r="AI159" s="429"/>
      <c r="AJ159" s="429"/>
      <c r="AK159" s="429"/>
      <c r="AL159" s="429"/>
      <c r="AM159" s="429"/>
      <c r="AN159" s="429"/>
      <c r="AO159" s="429"/>
      <c r="AP159" s="429"/>
      <c r="AQ159" s="429"/>
      <c r="AR159" s="429"/>
    </row>
    <row r="160" spans="1:44" ht="15.75" customHeight="1">
      <c r="A160" s="431"/>
      <c r="B160" s="431"/>
      <c r="C160" s="430"/>
      <c r="D160" s="430"/>
      <c r="E160" s="429"/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8"/>
      <c r="X160" s="429"/>
      <c r="Y160" s="429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AN160" s="429"/>
      <c r="AO160" s="429"/>
      <c r="AP160" s="429"/>
      <c r="AQ160" s="429"/>
      <c r="AR160" s="429"/>
    </row>
    <row r="161" spans="1:44" ht="15.75" customHeight="1">
      <c r="A161" s="431"/>
      <c r="B161" s="431"/>
      <c r="C161" s="430"/>
      <c r="D161" s="430"/>
      <c r="E161" s="429"/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8"/>
      <c r="U161" s="428"/>
      <c r="V161" s="428"/>
      <c r="W161" s="428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29"/>
      <c r="AP161" s="429"/>
      <c r="AQ161" s="429"/>
      <c r="AR161" s="429"/>
    </row>
    <row r="162" spans="1:44" ht="15.75" customHeight="1">
      <c r="A162" s="431"/>
      <c r="B162" s="431"/>
      <c r="C162" s="430"/>
      <c r="D162" s="430"/>
      <c r="E162" s="429"/>
      <c r="F162" s="428"/>
      <c r="G162" s="428"/>
      <c r="H162" s="428"/>
      <c r="I162" s="428"/>
      <c r="J162" s="428"/>
      <c r="K162" s="428"/>
      <c r="L162" s="428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8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29"/>
      <c r="AP162" s="429"/>
      <c r="AQ162" s="429"/>
      <c r="AR162" s="429"/>
    </row>
    <row r="163" spans="1:44" ht="15.75" customHeight="1">
      <c r="A163" s="431"/>
      <c r="B163" s="431"/>
      <c r="C163" s="430"/>
      <c r="D163" s="430"/>
      <c r="E163" s="429"/>
      <c r="F163" s="428"/>
      <c r="G163" s="428"/>
      <c r="H163" s="428"/>
      <c r="I163" s="428"/>
      <c r="J163" s="428"/>
      <c r="K163" s="428"/>
      <c r="L163" s="428"/>
      <c r="M163" s="428"/>
      <c r="N163" s="428"/>
      <c r="O163" s="428"/>
      <c r="P163" s="428"/>
      <c r="Q163" s="428"/>
      <c r="R163" s="428"/>
      <c r="S163" s="428"/>
      <c r="T163" s="428"/>
      <c r="U163" s="428"/>
      <c r="V163" s="428"/>
      <c r="W163" s="428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29"/>
      <c r="AO163" s="429"/>
      <c r="AP163" s="429"/>
      <c r="AQ163" s="429"/>
      <c r="AR163" s="429"/>
    </row>
    <row r="164" spans="1:44" ht="15.75" customHeight="1">
      <c r="A164" s="431"/>
      <c r="B164" s="431"/>
      <c r="C164" s="430"/>
      <c r="D164" s="430"/>
      <c r="E164" s="429"/>
      <c r="F164" s="428"/>
      <c r="G164" s="428"/>
      <c r="H164" s="428"/>
      <c r="I164" s="428"/>
      <c r="J164" s="428"/>
      <c r="K164" s="428"/>
      <c r="L164" s="428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8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  <c r="AN164" s="429"/>
      <c r="AO164" s="429"/>
      <c r="AP164" s="429"/>
      <c r="AQ164" s="429"/>
      <c r="AR164" s="429"/>
    </row>
    <row r="165" spans="1:44" ht="15.75" customHeight="1">
      <c r="A165" s="431"/>
      <c r="B165" s="431"/>
      <c r="C165" s="430"/>
      <c r="D165" s="430"/>
      <c r="E165" s="429"/>
      <c r="F165" s="428"/>
      <c r="G165" s="428"/>
      <c r="H165" s="428"/>
      <c r="I165" s="428"/>
      <c r="J165" s="428"/>
      <c r="K165" s="428"/>
      <c r="L165" s="428"/>
      <c r="M165" s="428"/>
      <c r="N165" s="428"/>
      <c r="O165" s="428"/>
      <c r="P165" s="428"/>
      <c r="Q165" s="428"/>
      <c r="R165" s="428"/>
      <c r="S165" s="428"/>
      <c r="T165" s="428"/>
      <c r="U165" s="428"/>
      <c r="V165" s="428"/>
      <c r="W165" s="428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AN165" s="429"/>
      <c r="AO165" s="429"/>
      <c r="AP165" s="429"/>
      <c r="AQ165" s="429"/>
      <c r="AR165" s="429"/>
    </row>
    <row r="166" spans="1:44" ht="15.75" customHeight="1">
      <c r="A166" s="431"/>
      <c r="B166" s="431"/>
      <c r="C166" s="430"/>
      <c r="D166" s="430"/>
      <c r="E166" s="429"/>
      <c r="F166" s="428"/>
      <c r="G166" s="428"/>
      <c r="H166" s="428"/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8"/>
      <c r="X166" s="429"/>
      <c r="Y166" s="429"/>
      <c r="Z166" s="429"/>
      <c r="AA166" s="429"/>
      <c r="AB166" s="429"/>
      <c r="AC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AN166" s="429"/>
      <c r="AO166" s="429"/>
      <c r="AP166" s="429"/>
      <c r="AQ166" s="429"/>
      <c r="AR166" s="429"/>
    </row>
    <row r="167" spans="1:44" ht="15.75" customHeight="1">
      <c r="A167" s="431"/>
      <c r="B167" s="431"/>
      <c r="C167" s="430"/>
      <c r="D167" s="430"/>
      <c r="E167" s="429"/>
      <c r="F167" s="428"/>
      <c r="G167" s="428"/>
      <c r="H167" s="428"/>
      <c r="I167" s="428"/>
      <c r="J167" s="428"/>
      <c r="K167" s="428"/>
      <c r="L167" s="428"/>
      <c r="M167" s="428"/>
      <c r="N167" s="428"/>
      <c r="O167" s="428"/>
      <c r="P167" s="428"/>
      <c r="Q167" s="428"/>
      <c r="R167" s="428"/>
      <c r="S167" s="428"/>
      <c r="T167" s="428"/>
      <c r="U167" s="428"/>
      <c r="V167" s="428"/>
      <c r="W167" s="428"/>
      <c r="X167" s="429"/>
      <c r="Y167" s="429"/>
      <c r="Z167" s="429"/>
      <c r="AA167" s="429"/>
      <c r="AB167" s="429"/>
      <c r="AC167" s="429"/>
      <c r="AD167" s="429"/>
      <c r="AE167" s="429"/>
      <c r="AF167" s="429"/>
      <c r="AG167" s="429"/>
      <c r="AH167" s="429"/>
      <c r="AI167" s="429"/>
      <c r="AJ167" s="429"/>
      <c r="AK167" s="429"/>
      <c r="AL167" s="429"/>
      <c r="AM167" s="429"/>
      <c r="AN167" s="429"/>
      <c r="AO167" s="429"/>
      <c r="AP167" s="429"/>
      <c r="AQ167" s="429"/>
      <c r="AR167" s="429"/>
    </row>
    <row r="168" spans="1:23" ht="15.75" customHeight="1">
      <c r="A168" s="431"/>
      <c r="B168" s="431"/>
      <c r="C168" s="430"/>
      <c r="D168" s="430"/>
      <c r="E168" s="429"/>
      <c r="F168" s="428"/>
      <c r="G168" s="428"/>
      <c r="H168" s="428"/>
      <c r="I168" s="428"/>
      <c r="J168" s="428"/>
      <c r="K168" s="428"/>
      <c r="L168" s="428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8"/>
    </row>
    <row r="169" spans="1:23" ht="15.75" customHeight="1">
      <c r="A169" s="424"/>
      <c r="B169" s="430"/>
      <c r="C169" s="430"/>
      <c r="D169" s="430"/>
      <c r="E169" s="429"/>
      <c r="F169" s="428"/>
      <c r="G169" s="428"/>
      <c r="H169" s="428"/>
      <c r="I169" s="428"/>
      <c r="J169" s="428"/>
      <c r="K169" s="428"/>
      <c r="L169" s="428"/>
      <c r="M169" s="428"/>
      <c r="N169" s="428"/>
      <c r="O169" s="428"/>
      <c r="P169" s="428"/>
      <c r="Q169" s="428"/>
      <c r="R169" s="428"/>
      <c r="S169" s="428"/>
      <c r="T169" s="428"/>
      <c r="U169" s="428"/>
      <c r="V169" s="428"/>
      <c r="W169" s="428"/>
    </row>
  </sheetData>
  <sheetProtection password="DFED" sheet="1"/>
  <mergeCells count="5">
    <mergeCell ref="M5:P5"/>
    <mergeCell ref="S5:T5"/>
    <mergeCell ref="U5:V5"/>
    <mergeCell ref="A6:B6"/>
    <mergeCell ref="A143:X14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301"/>
  <sheetViews>
    <sheetView zoomScale="75" zoomScaleNormal="75" zoomScalePageLayoutView="0" workbookViewId="0" topLeftCell="M55">
      <selection activeCell="S86" sqref="S86"/>
    </sheetView>
  </sheetViews>
  <sheetFormatPr defaultColWidth="9.140625" defaultRowHeight="12.75"/>
  <cols>
    <col min="1" max="1" width="4.7109375" style="1" bestFit="1" customWidth="1"/>
    <col min="2" max="2" width="65.00390625" style="0" bestFit="1" customWidth="1"/>
    <col min="3" max="3" width="9.7109375" style="1" bestFit="1" customWidth="1"/>
    <col min="4" max="5" width="48.28125" style="0" customWidth="1"/>
    <col min="6" max="6" width="40.57421875" style="0" customWidth="1"/>
    <col min="7" max="7" width="43.421875" style="0" customWidth="1"/>
    <col min="8" max="8" width="26.421875" style="1" customWidth="1"/>
    <col min="9" max="9" width="10.421875" style="0" customWidth="1"/>
    <col min="10" max="10" width="11.8515625" style="0" customWidth="1"/>
    <col min="11" max="11" width="22.140625" style="0" customWidth="1"/>
    <col min="12" max="12" width="25.140625" style="0" customWidth="1"/>
    <col min="13" max="13" width="54.00390625" style="0" customWidth="1"/>
    <col min="14" max="14" width="59.57421875" style="0" customWidth="1"/>
    <col min="15" max="17" width="10.140625" style="0" customWidth="1"/>
    <col min="18" max="18" width="63.7109375" style="0" bestFit="1" customWidth="1"/>
    <col min="19" max="25" width="10.140625" style="0" bestFit="1" customWidth="1"/>
    <col min="26" max="26" width="10.421875" style="0" bestFit="1" customWidth="1"/>
    <col min="27" max="30" width="10.140625" style="0" bestFit="1" customWidth="1"/>
    <col min="31" max="31" width="10.28125" style="0" bestFit="1" customWidth="1"/>
    <col min="32" max="32" width="20.7109375" style="0" bestFit="1" customWidth="1"/>
    <col min="33" max="46" width="10.140625" style="0" bestFit="1" customWidth="1"/>
  </cols>
  <sheetData>
    <row r="1" spans="1:3" ht="12.75">
      <c r="A1" s="298"/>
      <c r="C1" s="28"/>
    </row>
    <row r="2" spans="1:22" ht="12.75">
      <c r="A2" s="564">
        <v>1</v>
      </c>
      <c r="B2" s="286" t="s">
        <v>1627</v>
      </c>
      <c r="C2" s="299">
        <v>42051</v>
      </c>
      <c r="D2" s="383" t="s">
        <v>1073</v>
      </c>
      <c r="U2" s="572"/>
      <c r="V2" s="572"/>
    </row>
    <row r="3" spans="1:22" ht="12.75">
      <c r="A3" s="564">
        <v>2</v>
      </c>
      <c r="B3" s="286" t="s">
        <v>1628</v>
      </c>
      <c r="C3" s="299">
        <v>41977</v>
      </c>
      <c r="D3" s="383" t="s">
        <v>1073</v>
      </c>
      <c r="U3" s="572"/>
      <c r="V3" s="572"/>
    </row>
    <row r="4" spans="1:3" ht="12.75">
      <c r="A4" s="564">
        <v>3</v>
      </c>
      <c r="B4" s="286" t="s">
        <v>1559</v>
      </c>
      <c r="C4" s="299">
        <v>41808</v>
      </c>
    </row>
    <row r="5" spans="1:3" ht="12.75">
      <c r="A5" s="564">
        <v>4</v>
      </c>
      <c r="B5" s="286" t="s">
        <v>1557</v>
      </c>
      <c r="C5" s="299">
        <v>41585</v>
      </c>
    </row>
    <row r="6" spans="1:3" ht="12.75">
      <c r="A6" s="564">
        <v>5</v>
      </c>
      <c r="B6" s="286" t="s">
        <v>1481</v>
      </c>
      <c r="C6" s="299">
        <v>41471</v>
      </c>
    </row>
    <row r="7" spans="1:3" ht="12.75">
      <c r="A7" s="564">
        <v>6</v>
      </c>
      <c r="B7" s="286" t="s">
        <v>1545</v>
      </c>
      <c r="C7" s="299">
        <v>41500</v>
      </c>
    </row>
    <row r="8" spans="1:3" ht="12.75">
      <c r="A8" s="564">
        <v>7</v>
      </c>
      <c r="B8" s="286" t="s">
        <v>1597</v>
      </c>
      <c r="C8" s="299">
        <v>41878</v>
      </c>
    </row>
    <row r="9" spans="1:3" ht="12.75">
      <c r="A9" s="564">
        <v>8</v>
      </c>
      <c r="B9" s="286" t="s">
        <v>1546</v>
      </c>
      <c r="C9" s="299">
        <v>41370</v>
      </c>
    </row>
    <row r="10" spans="1:3" ht="12.75">
      <c r="A10" s="564">
        <v>9</v>
      </c>
      <c r="B10" s="286" t="s">
        <v>1291</v>
      </c>
      <c r="C10" s="299">
        <v>41369</v>
      </c>
    </row>
    <row r="11" spans="1:3" ht="12.75">
      <c r="A11" s="564">
        <v>10</v>
      </c>
      <c r="B11" s="286" t="s">
        <v>1267</v>
      </c>
      <c r="C11" s="299">
        <v>41337</v>
      </c>
    </row>
    <row r="12" spans="1:3" ht="12.75">
      <c r="A12" s="564">
        <v>11</v>
      </c>
      <c r="B12" s="286" t="s">
        <v>1244</v>
      </c>
      <c r="C12" s="299">
        <v>41143</v>
      </c>
    </row>
    <row r="13" spans="1:3" ht="12.75">
      <c r="A13" s="564">
        <v>12</v>
      </c>
      <c r="B13" s="286" t="s">
        <v>661</v>
      </c>
      <c r="C13" s="299">
        <v>40973</v>
      </c>
    </row>
    <row r="14" spans="1:3" ht="12.75">
      <c r="A14" s="564">
        <v>13</v>
      </c>
      <c r="B14" s="286" t="s">
        <v>638</v>
      </c>
      <c r="C14" s="299">
        <v>40918</v>
      </c>
    </row>
    <row r="15" spans="1:3" ht="12.75">
      <c r="A15" s="564">
        <v>14</v>
      </c>
      <c r="B15" s="286" t="s">
        <v>691</v>
      </c>
      <c r="C15" s="565">
        <v>40878</v>
      </c>
    </row>
    <row r="16" spans="1:3" ht="12.75">
      <c r="A16" s="564">
        <v>15</v>
      </c>
      <c r="B16" s="286" t="s">
        <v>243</v>
      </c>
      <c r="C16" s="299">
        <v>40871</v>
      </c>
    </row>
    <row r="17" spans="1:3" ht="12.75">
      <c r="A17" s="564">
        <v>16</v>
      </c>
      <c r="B17" s="286" t="s">
        <v>1185</v>
      </c>
      <c r="C17" s="299">
        <v>40610</v>
      </c>
    </row>
    <row r="18" spans="1:3" ht="12.75">
      <c r="A18" s="564">
        <v>17</v>
      </c>
      <c r="B18" s="286" t="s">
        <v>520</v>
      </c>
      <c r="C18" s="565">
        <v>39848</v>
      </c>
    </row>
    <row r="19" spans="1:3" ht="12.75">
      <c r="A19" s="564">
        <v>18</v>
      </c>
      <c r="B19" s="286" t="s">
        <v>1547</v>
      </c>
      <c r="C19" s="299">
        <v>40975</v>
      </c>
    </row>
    <row r="20" spans="1:3" ht="12.75">
      <c r="A20" s="564">
        <v>19</v>
      </c>
      <c r="B20" s="286" t="s">
        <v>663</v>
      </c>
      <c r="C20" s="299">
        <v>40974</v>
      </c>
    </row>
    <row r="21" spans="1:3" ht="12.75">
      <c r="A21" s="564">
        <v>20</v>
      </c>
      <c r="B21" s="286" t="s">
        <v>904</v>
      </c>
      <c r="C21" s="299">
        <v>40861</v>
      </c>
    </row>
    <row r="22" spans="1:3" ht="12.75">
      <c r="A22" s="564">
        <v>21</v>
      </c>
      <c r="B22" s="286" t="s">
        <v>1184</v>
      </c>
      <c r="C22" s="299">
        <v>40609</v>
      </c>
    </row>
    <row r="23" spans="1:3" ht="12.75">
      <c r="A23" s="564">
        <v>22</v>
      </c>
      <c r="B23" s="286" t="s">
        <v>693</v>
      </c>
      <c r="C23" s="565">
        <v>40883</v>
      </c>
    </row>
    <row r="24" spans="1:8" s="15" customFormat="1" ht="12.75">
      <c r="A24" s="564">
        <v>23</v>
      </c>
      <c r="B24" s="286" t="s">
        <v>78</v>
      </c>
      <c r="C24" s="565">
        <v>40438</v>
      </c>
      <c r="H24" s="9"/>
    </row>
    <row r="25" spans="1:8" s="15" customFormat="1" ht="12.75">
      <c r="A25" s="564">
        <v>24</v>
      </c>
      <c r="B25" s="286" t="s">
        <v>1179</v>
      </c>
      <c r="C25" s="565">
        <v>39605</v>
      </c>
      <c r="H25" s="9"/>
    </row>
    <row r="26" spans="1:3" ht="12.75">
      <c r="A26" s="564">
        <v>25</v>
      </c>
      <c r="B26" s="566" t="s">
        <v>42</v>
      </c>
      <c r="C26" s="567">
        <v>39493</v>
      </c>
    </row>
    <row r="32" s="1" customFormat="1" ht="12.75">
      <c r="D32" s="232">
        <f>'Date Drivers'!B1</f>
        <v>41369</v>
      </c>
    </row>
    <row r="33" spans="1:14" ht="12.75">
      <c r="A33" s="33"/>
      <c r="C33" s="18"/>
      <c r="D33" s="12"/>
      <c r="E33" s="13"/>
      <c r="F33" s="33"/>
      <c r="G33" s="91"/>
      <c r="H33" s="12"/>
      <c r="I33" s="13"/>
      <c r="J33" s="33"/>
      <c r="K33" s="91"/>
      <c r="L33" s="11"/>
      <c r="M33" s="41"/>
      <c r="N33" s="13"/>
    </row>
    <row r="34" spans="1:24" ht="12.75">
      <c r="A34" s="22">
        <v>1</v>
      </c>
      <c r="B34" s="30" t="str">
        <f>CONCATENATE(HLOOKUP('Date Drivers'!$B$1,'Date Drivers'!$B$2:$Z$3,2))</f>
        <v>Корпус 40TE,  подключение под фастон</v>
      </c>
      <c r="C34" s="9">
        <v>3</v>
      </c>
      <c r="D34" s="30" t="str">
        <f>HLOOKUP('Date Drivers'!$B$1,'Date Drivers'!$B$2:$Z$12,6)</f>
        <v>Навесной с передним подключением</v>
      </c>
      <c r="E34" s="64" t="str">
        <f>HLOOKUP('Date Drivers'!$B$1,'Date Drivers'!$B$2:$Z$12,7)</f>
        <v>Утопленный с задним подключением</v>
      </c>
      <c r="F34" s="30" t="str">
        <f>HLOOKUP('Date Drivers'!$B$1,'Date Drivers'!$B$2:$Z$12,8)</f>
        <v>Навесной с передним подключением и съемным ЧМИ</v>
      </c>
      <c r="G34" s="64" t="str">
        <f>HLOOKUP('Date Drivers'!$B$1,'Date Drivers'!$B$2:$Z$12,9)</f>
        <v>Утопленный с задним подключением и съемным ЧМИ</v>
      </c>
      <c r="H34" s="30" t="str">
        <f>HLOOKUP('Date Drivers'!$B$1,'Date Drivers'!$B$2:$Z$12,10)</f>
        <v> </v>
      </c>
      <c r="I34" s="64" t="str">
        <f>HLOOKUP('Date Drivers'!$B$1,'Date Drivers'!$B$2:$Z$12,11)</f>
        <v> </v>
      </c>
      <c r="J34" s="30" t="str">
        <f>HLOOKUP('Date Drivers'!$B$1,'Date Drivers'!$B$2:$Z$13,12)</f>
        <v> </v>
      </c>
      <c r="K34" s="64" t="str">
        <f>HLOOKUP('Date Drivers'!$B$1,'Date Drivers'!$B$2:$Z$14,13)</f>
        <v> </v>
      </c>
      <c r="L34" s="54" t="str">
        <f>HLOOKUP('Date Drivers'!$B$1,'Date Drivers'!$B$2:$Z$112,38)</f>
        <v>-420</v>
      </c>
      <c r="M34" s="44" t="str">
        <f>HLOOKUP('Date Drivers'!$B$1,'Date Drivers'!$B$2:$Z$112,39)</f>
        <v>T</v>
      </c>
      <c r="N34" s="54" t="str">
        <f>IF(Configurator!$P$5=" ","","-45")</f>
        <v>-45</v>
      </c>
      <c r="O34" s="44" t="str">
        <f>IF(Configurator!$P$5=" ","","9")</f>
        <v>9</v>
      </c>
      <c r="P34" s="56" t="str">
        <f>IF(Tendering!$B$22=1,"","-80")</f>
        <v>-80</v>
      </c>
      <c r="Q34" s="206" t="str">
        <f>HLOOKUP('Date Drivers'!$B$1,'Date Drivers'!$B$2:$Z$19,15)</f>
        <v>Нет</v>
      </c>
      <c r="R34" s="207" t="str">
        <f>HLOOKUP('Date Drivers'!$B$1,'Date Drivers'!$B$2:$Z$19,16)</f>
        <v>Vnom = 50 ... 130 V (4-pole)</v>
      </c>
      <c r="S34" s="207" t="str">
        <f>HLOOKUP('Date Drivers'!$B$1,'Date Drivers'!$B$2:$Z$19,17)</f>
        <v>Vnom = 50 ... 130 V (5-pole) цепи синхронизма</v>
      </c>
      <c r="T34" s="208" t="str">
        <f>HLOOKUP('Date Drivers'!$B$1,'Date Drivers'!$B$2:$Z$19,18)</f>
        <v> </v>
      </c>
      <c r="U34" s="33">
        <v>0</v>
      </c>
      <c r="V34" s="18">
        <v>4</v>
      </c>
      <c r="W34" s="18">
        <v>5</v>
      </c>
      <c r="X34" s="104" t="str">
        <f>HLOOKUP('Date Drivers'!$B$1,'Date Drivers'!$B$2:$B$204,19)</f>
        <v>*</v>
      </c>
    </row>
    <row r="35" spans="1:24" ht="12.75">
      <c r="A35" s="22">
        <v>2</v>
      </c>
      <c r="B35" s="30" t="str">
        <f>(HLOOKUP('Date Drivers'!$B$1,'Date Drivers'!$B$2:$Z$4,3))</f>
        <v>Корпус 40TE, CT/VT под винт, I/O  подключение под фастон цепей тока</v>
      </c>
      <c r="C35" s="9">
        <v>5</v>
      </c>
      <c r="D35" s="30" t="str">
        <f>HLOOKUP('Date Drivers'!$B$1,'Date Drivers'!$B$2:$Z$12,6)</f>
        <v>Навесной с передним подключением</v>
      </c>
      <c r="E35" s="64" t="str">
        <f>HLOOKUP('Date Drivers'!$B$1,'Date Drivers'!$B$2:$Z$12,7)</f>
        <v>Утопленный с задним подключением</v>
      </c>
      <c r="F35" s="30" t="str">
        <f>HLOOKUP('Date Drivers'!$B$1,'Date Drivers'!$B$2:$Z$12,8)</f>
        <v>Навесной с передним подключением и съемным ЧМИ</v>
      </c>
      <c r="G35" s="64" t="str">
        <f>HLOOKUP('Date Drivers'!$B$1,'Date Drivers'!$B$2:$Z$12,9)</f>
        <v>Утопленный с задним подключением и съемным ЧМИ</v>
      </c>
      <c r="H35" s="30" t="str">
        <f>HLOOKUP('Date Drivers'!$B$1,'Date Drivers'!$B$2:$Z$12,10)</f>
        <v> </v>
      </c>
      <c r="I35" s="64" t="str">
        <f>HLOOKUP('Date Drivers'!$B$1,'Date Drivers'!$B$2:$Z$12,11)</f>
        <v> </v>
      </c>
      <c r="J35" s="30" t="str">
        <f>HLOOKUP('Date Drivers'!$B$1,'Date Drivers'!$B$2:$Z$13,12)</f>
        <v> </v>
      </c>
      <c r="K35" s="64" t="str">
        <f>HLOOKUP('Date Drivers'!$B$1,'Date Drivers'!$B$2:$Z$14,13)</f>
        <v> </v>
      </c>
      <c r="L35" s="54" t="str">
        <f>HLOOKUP('Date Drivers'!$B$1,'Date Drivers'!$B$2:$Z$112,40)</f>
        <v>-421</v>
      </c>
      <c r="M35" s="44" t="str">
        <f>HLOOKUP('Date Drivers'!$B$1,'Date Drivers'!$B$2:$Z$112,41)</f>
        <v>U</v>
      </c>
      <c r="N35" s="54" t="str">
        <f>IF(Configurator!$P$5=" ","","-45")</f>
        <v>-45</v>
      </c>
      <c r="O35" s="44" t="str">
        <f>IF(Configurator!$P$5=" ","","9")</f>
        <v>9</v>
      </c>
      <c r="P35" s="56" t="str">
        <f>IF(Tendering!$B$22=1,"","-80")</f>
        <v>-80</v>
      </c>
      <c r="Q35" s="209" t="str">
        <f>HLOOKUP('Date Drivers'!$B$1,'Date Drivers'!$B$2:$Z$19,15)</f>
        <v>Нет</v>
      </c>
      <c r="R35" s="30" t="str">
        <f>HLOOKUP('Date Drivers'!$B$1,'Date Drivers'!$B$2:$Z$19,16)</f>
        <v>Vnom = 50 ... 130 V (4-pole)</v>
      </c>
      <c r="S35" s="30" t="str">
        <f>HLOOKUP('Date Drivers'!$B$1,'Date Drivers'!$B$2:$Z$19,17)</f>
        <v>Vnom = 50 ... 130 V (5-pole) цепи синхронизма</v>
      </c>
      <c r="T35" s="210" t="s">
        <v>1073</v>
      </c>
      <c r="U35" s="569">
        <f>IF(Tendering!$B$16=4,"*",0)</f>
        <v>0</v>
      </c>
      <c r="V35" s="9">
        <v>4</v>
      </c>
      <c r="W35" s="9">
        <v>5</v>
      </c>
      <c r="X35" s="96">
        <v>5</v>
      </c>
    </row>
    <row r="36" spans="1:24" ht="12.75">
      <c r="A36" s="35">
        <v>3</v>
      </c>
      <c r="B36" s="30" t="str">
        <f>(HLOOKUP('Date Drivers'!$B$1,'Date Drivers'!$B$2:$Z$5,4))</f>
        <v>Корпус 84TE, подключение под винт всех цепей</v>
      </c>
      <c r="C36" s="10">
        <v>8</v>
      </c>
      <c r="D36" s="31" t="str">
        <f>HLOOKUP('Date Drivers'!$B$1,'Date Drivers'!$B$2:$Z$12,6)</f>
        <v>Навесной с передним подключением</v>
      </c>
      <c r="E36" s="65" t="str">
        <f>HLOOKUP('Date Drivers'!$B$1,'Date Drivers'!$B$2:$Z$12,7)</f>
        <v>Утопленный с задним подключением</v>
      </c>
      <c r="F36" s="31" t="str">
        <f>HLOOKUP('Date Drivers'!$B$1,'Date Drivers'!$B$2:$Z$14,8)</f>
        <v>Навесной с передним подключением и съемным ЧМИ</v>
      </c>
      <c r="G36" s="65" t="str">
        <f>HLOOKUP('Date Drivers'!$B$1,'Date Drivers'!$B$2:$Z$14,9)</f>
        <v>Утопленный с задним подключением и съемным ЧМИ</v>
      </c>
      <c r="H36" s="30" t="str">
        <f>HLOOKUP('Date Drivers'!$B$1,'Date Drivers'!$B$2:$Z$12,10)</f>
        <v> </v>
      </c>
      <c r="I36" s="64" t="str">
        <f>HLOOKUP('Date Drivers'!$B$1,'Date Drivers'!$B$2:$Z$12,11)</f>
        <v> </v>
      </c>
      <c r="J36" s="30" t="str">
        <f>HLOOKUP('Date Drivers'!$B$1,'Date Drivers'!$B$2:$Z$13,12)</f>
        <v> </v>
      </c>
      <c r="K36" s="64" t="str">
        <f>HLOOKUP('Date Drivers'!$B$1,'Date Drivers'!$B$2:$Z$14,13)</f>
        <v> </v>
      </c>
      <c r="L36" s="55" t="str">
        <f>HLOOKUP('Date Drivers'!$B$1,'Date Drivers'!$B$2:$Z$112,42)</f>
        <v>-422</v>
      </c>
      <c r="M36" s="42" t="str">
        <f>HLOOKUP('Date Drivers'!$B$1,'Date Drivers'!$B$2:$Z$112,43)</f>
        <v>V</v>
      </c>
      <c r="N36" s="55" t="str">
        <f>IF(Configurator!$P$5=" ","","-45")</f>
        <v>-45</v>
      </c>
      <c r="O36" s="42" t="str">
        <f>IF(Configurator!$P$5=" ","","9")</f>
        <v>9</v>
      </c>
      <c r="P36" s="53" t="str">
        <f>IF(Tendering!$B$22=1,"","-80")</f>
        <v>-80</v>
      </c>
      <c r="Q36" s="211" t="str">
        <f>HLOOKUP('Date Drivers'!$B$1,'Date Drivers'!$B$2:$Z$19,15)</f>
        <v>Нет</v>
      </c>
      <c r="R36" s="31" t="str">
        <f>HLOOKUP('Date Drivers'!$B$1,'Date Drivers'!$B$2:$Z$19,16)</f>
        <v>Vnom = 50 ... 130 V (4-pole)</v>
      </c>
      <c r="S36" s="31" t="str">
        <f>HLOOKUP('Date Drivers'!$B$1,'Date Drivers'!$B$2:$Z$19,17)</f>
        <v>Vnom = 50 ... 130 V (5-pole) цепи синхронизма</v>
      </c>
      <c r="T36" s="65" t="str">
        <f>HLOOKUP('Date Drivers'!$B$1,'Date Drivers'!$B$2:$Z$19,18)</f>
        <v> </v>
      </c>
      <c r="U36" s="570">
        <f>IF(Tendering!$B$16=4,"*",0)</f>
        <v>0</v>
      </c>
      <c r="V36" s="10">
        <v>4</v>
      </c>
      <c r="W36" s="10">
        <v>5</v>
      </c>
      <c r="X36" s="205" t="str">
        <f>HLOOKUP('Date Drivers'!$B$1,'Date Drivers'!$B$2:$B$204,19)</f>
        <v>*</v>
      </c>
    </row>
    <row r="37" spans="1:9" ht="12.75">
      <c r="A37" s="9"/>
      <c r="B37" s="15"/>
      <c r="C37" s="9"/>
      <c r="D37" s="9"/>
      <c r="E37" s="15"/>
      <c r="F37" s="27"/>
      <c r="G37" s="23"/>
      <c r="H37" s="9"/>
      <c r="I37" s="15"/>
    </row>
    <row r="38" spans="1:29" ht="12.75">
      <c r="A38" s="33"/>
      <c r="C38" s="28"/>
      <c r="D38" s="33" t="s">
        <v>1081</v>
      </c>
      <c r="E38" s="233">
        <f>Tendering!$B$9</f>
        <v>1</v>
      </c>
      <c r="F38" s="37">
        <v>11</v>
      </c>
      <c r="G38" s="38">
        <v>12</v>
      </c>
      <c r="H38" s="37">
        <v>13</v>
      </c>
      <c r="I38" s="38">
        <v>14</v>
      </c>
      <c r="J38" s="37">
        <v>15</v>
      </c>
      <c r="K38" s="38">
        <v>16</v>
      </c>
      <c r="L38" s="37">
        <v>17</v>
      </c>
      <c r="M38" s="38">
        <v>18</v>
      </c>
      <c r="N38" s="74">
        <v>21</v>
      </c>
      <c r="O38" s="74">
        <v>22</v>
      </c>
      <c r="P38" s="37">
        <v>23</v>
      </c>
      <c r="Q38" s="38">
        <v>24</v>
      </c>
      <c r="R38" s="37">
        <v>25</v>
      </c>
      <c r="S38" s="38">
        <v>26</v>
      </c>
      <c r="T38" s="37">
        <v>27</v>
      </c>
      <c r="U38" s="38">
        <v>28</v>
      </c>
      <c r="V38" s="74">
        <v>31</v>
      </c>
      <c r="W38" s="37">
        <v>32</v>
      </c>
      <c r="X38" s="38">
        <v>33</v>
      </c>
      <c r="Y38" s="66">
        <v>34</v>
      </c>
      <c r="Z38" s="37">
        <v>35</v>
      </c>
      <c r="AA38" s="38">
        <v>36</v>
      </c>
      <c r="AB38" s="37">
        <v>37</v>
      </c>
      <c r="AC38" s="38">
        <v>38</v>
      </c>
    </row>
    <row r="39" spans="1:29" ht="12.75">
      <c r="A39" s="22">
        <v>1</v>
      </c>
      <c r="B39" s="30" t="str">
        <f>VLOOKUP(Tendering!$B$9,$A$34:$K$36,4)</f>
        <v>Навесной с передним подключением</v>
      </c>
      <c r="C39" s="34">
        <f>HLOOKUP($E$46,$F$38:$AC$39,2)</f>
        <v>6</v>
      </c>
      <c r="D39" s="22" t="s">
        <v>1083</v>
      </c>
      <c r="E39" s="34">
        <f>Tendering!$B$10</f>
        <v>2</v>
      </c>
      <c r="F39" s="39">
        <v>5</v>
      </c>
      <c r="G39" s="24">
        <v>6</v>
      </c>
      <c r="H39" s="245">
        <f>IF($F$34=" ",6,7)</f>
        <v>7</v>
      </c>
      <c r="I39" s="245">
        <f>IF($F$34=" ",6,9)</f>
        <v>9</v>
      </c>
      <c r="J39" s="35" t="s">
        <v>1240</v>
      </c>
      <c r="K39" s="10" t="s">
        <v>16</v>
      </c>
      <c r="L39" s="245" t="str">
        <f>IF($J$34=" ","F","G")</f>
        <v>F</v>
      </c>
      <c r="M39" s="245" t="str">
        <f>IF($J$34=" ","F","J")</f>
        <v>F</v>
      </c>
      <c r="N39" s="75">
        <v>5</v>
      </c>
      <c r="O39" s="75">
        <v>6</v>
      </c>
      <c r="P39" s="245">
        <f>IF($F$34=" ",6,7)</f>
        <v>7</v>
      </c>
      <c r="Q39" s="245">
        <f>IF($F$34=" ",6,9)</f>
        <v>9</v>
      </c>
      <c r="R39" s="35" t="s">
        <v>1240</v>
      </c>
      <c r="S39" s="10" t="s">
        <v>16</v>
      </c>
      <c r="T39" s="245" t="str">
        <f>IF($J$34=" ","F","G")</f>
        <v>F</v>
      </c>
      <c r="U39" s="245" t="str">
        <f>IF($J$34=" ","F","J")</f>
        <v>F</v>
      </c>
      <c r="V39" s="75">
        <v>5</v>
      </c>
      <c r="W39" s="39">
        <v>6</v>
      </c>
      <c r="X39" s="245">
        <f>IF($F$34=" ",6,7)</f>
        <v>7</v>
      </c>
      <c r="Y39" s="245">
        <f>IF($F$34=" ",6,9)</f>
        <v>9</v>
      </c>
      <c r="Z39" s="35" t="s">
        <v>1240</v>
      </c>
      <c r="AA39" s="10" t="s">
        <v>16</v>
      </c>
      <c r="AB39" s="245" t="str">
        <f>IF($J$34=" ","F","G")</f>
        <v>F</v>
      </c>
      <c r="AC39" s="245" t="str">
        <f>IF($J$34=" ","F","J")</f>
        <v>F</v>
      </c>
    </row>
    <row r="40" spans="1:11" ht="12.75">
      <c r="A40" s="22">
        <v>2</v>
      </c>
      <c r="B40" s="30" t="str">
        <f>VLOOKUP(Tendering!$B$9,$A$34:$K$36,5)</f>
        <v>Утопленный с задним подключением</v>
      </c>
      <c r="C40" s="34">
        <f aca="true" t="shared" si="0" ref="C40:C46">HLOOKUP($E$46,$F$38:$AC$39,2)</f>
        <v>6</v>
      </c>
      <c r="D40" s="22"/>
      <c r="E40" s="234"/>
      <c r="F40" s="27"/>
      <c r="G40" s="23"/>
      <c r="H40" s="9"/>
      <c r="I40" s="15"/>
      <c r="J40" s="27"/>
      <c r="K40" s="23"/>
    </row>
    <row r="41" spans="1:11" ht="12.75">
      <c r="A41" s="22">
        <v>3</v>
      </c>
      <c r="B41" s="30" t="str">
        <f>VLOOKUP(Tendering!$B$9,$A$34:$K$36,6)</f>
        <v>Навесной с передним подключением и съемным ЧМИ</v>
      </c>
      <c r="C41" s="34">
        <f t="shared" si="0"/>
        <v>6</v>
      </c>
      <c r="D41" s="22"/>
      <c r="E41" s="234"/>
      <c r="F41" s="27"/>
      <c r="G41" s="23"/>
      <c r="H41" s="9"/>
      <c r="I41" s="15"/>
      <c r="J41" s="27"/>
      <c r="K41" s="23"/>
    </row>
    <row r="42" spans="1:11" ht="12.75">
      <c r="A42" s="22">
        <v>4</v>
      </c>
      <c r="B42" s="30" t="str">
        <f>VLOOKUP(Tendering!$B$9,$A$34:$K$36,7)</f>
        <v>Утопленный с задним подключением и съемным ЧМИ</v>
      </c>
      <c r="C42" s="34">
        <f t="shared" si="0"/>
        <v>6</v>
      </c>
      <c r="D42" s="22"/>
      <c r="E42" s="234"/>
      <c r="F42" s="27"/>
      <c r="G42" s="23"/>
      <c r="H42" s="9"/>
      <c r="I42" s="15"/>
      <c r="J42" s="27"/>
      <c r="K42" s="23"/>
    </row>
    <row r="43" spans="1:11" ht="12.75">
      <c r="A43" s="22">
        <v>5</v>
      </c>
      <c r="B43" s="30" t="str">
        <f>VLOOKUP(Tendering!$B$9,$A$34:$K$36,8)</f>
        <v> </v>
      </c>
      <c r="C43" s="34">
        <f t="shared" si="0"/>
        <v>6</v>
      </c>
      <c r="D43" s="22"/>
      <c r="E43" s="234"/>
      <c r="F43" s="27"/>
      <c r="G43" s="23"/>
      <c r="H43" s="9"/>
      <c r="I43" s="15"/>
      <c r="J43" s="27"/>
      <c r="K43" s="23"/>
    </row>
    <row r="44" spans="1:11" ht="12.75">
      <c r="A44" s="22">
        <v>6</v>
      </c>
      <c r="B44" s="30" t="str">
        <f>VLOOKUP(Tendering!$B$9,$A$34:$K$36,9)</f>
        <v> </v>
      </c>
      <c r="C44" s="34">
        <f t="shared" si="0"/>
        <v>6</v>
      </c>
      <c r="D44" s="22"/>
      <c r="E44" s="234"/>
      <c r="F44" s="27"/>
      <c r="G44" s="23"/>
      <c r="H44" s="9"/>
      <c r="I44" s="15"/>
      <c r="J44" s="27"/>
      <c r="K44" s="23"/>
    </row>
    <row r="45" spans="1:11" ht="12.75">
      <c r="A45" s="22">
        <v>7</v>
      </c>
      <c r="B45" s="30" t="str">
        <f>VLOOKUP(Tendering!$B$9,$A$34:$K$36,10)</f>
        <v> </v>
      </c>
      <c r="C45" s="34">
        <f t="shared" si="0"/>
        <v>6</v>
      </c>
      <c r="D45" s="22"/>
      <c r="E45" s="234"/>
      <c r="F45" s="27"/>
      <c r="G45" s="23"/>
      <c r="H45" s="9"/>
      <c r="I45" s="15"/>
      <c r="J45" s="27"/>
      <c r="K45" s="23"/>
    </row>
    <row r="46" spans="1:11" ht="12.75">
      <c r="A46" s="35">
        <v>8</v>
      </c>
      <c r="B46" s="31" t="str">
        <f>VLOOKUP(Tendering!$B$9,$A$34:$K$36,11)</f>
        <v> </v>
      </c>
      <c r="C46" s="40">
        <f t="shared" si="0"/>
        <v>6</v>
      </c>
      <c r="D46" s="35" t="s">
        <v>1082</v>
      </c>
      <c r="E46" s="36">
        <f>$E$38*10+$E$39</f>
        <v>12</v>
      </c>
      <c r="F46" s="27"/>
      <c r="G46" s="23"/>
      <c r="H46" s="9"/>
      <c r="I46" s="15"/>
      <c r="J46" s="27"/>
      <c r="K46" s="23"/>
    </row>
    <row r="47" spans="1:11" ht="12.75">
      <c r="A47" s="9"/>
      <c r="B47" s="30"/>
      <c r="C47" s="32"/>
      <c r="D47" s="9"/>
      <c r="E47" s="29"/>
      <c r="F47" s="27"/>
      <c r="G47" s="23"/>
      <c r="H47" s="9"/>
      <c r="I47" s="15"/>
      <c r="J47" s="27"/>
      <c r="K47" s="23"/>
    </row>
    <row r="48" spans="1:19" ht="12.75">
      <c r="A48" s="33"/>
      <c r="C48" s="28"/>
      <c r="D48" s="91"/>
      <c r="E48" s="91"/>
      <c r="F48" s="213"/>
      <c r="G48" s="91"/>
      <c r="H48" s="91"/>
      <c r="I48" s="91"/>
      <c r="J48" s="91"/>
      <c r="K48" s="91"/>
      <c r="L48" s="91"/>
      <c r="M48" s="91"/>
      <c r="N48" s="91"/>
      <c r="O48" s="577"/>
      <c r="P48" s="577"/>
      <c r="Q48" s="577"/>
      <c r="R48" s="577"/>
      <c r="S48" s="577"/>
    </row>
    <row r="49" spans="1:19" ht="140.25">
      <c r="A49" s="22">
        <v>1</v>
      </c>
      <c r="B49" s="30" t="str">
        <f>VLOOKUP(Tendering!$B$9,$A$34:$X$36,17)</f>
        <v>Нет</v>
      </c>
      <c r="C49" s="34">
        <f>VLOOKUP(Tendering!$B$9,$A$34:$X$36,21)</f>
        <v>0</v>
      </c>
      <c r="D49" s="92" t="str">
        <f>HLOOKUP('Date Drivers'!$B$1,'Date Drivers'!$B$2:$AA$501,45)</f>
        <v>Нет</v>
      </c>
      <c r="E49" s="92" t="str">
        <f>HLOOKUP('Date Drivers'!$B$1,'Date Drivers'!$B$2:$AA$54,47)</f>
        <v>С аналоговым модулем</v>
      </c>
      <c r="F49" s="92" t="str">
        <f>HLOOKUP('Date Drivers'!$B$1,'Date Drivers'!$B$2:$AA$54,49)</f>
        <v>24 дискретных входа </v>
      </c>
      <c r="G49" s="214" t="str">
        <f>HLOOKUP('Date Drivers'!$B$1,'Date Drivers'!$B$2:$AA$54,51)</f>
        <v>С RTD модулем - not available with BiBo6H module in Slot 7</v>
      </c>
      <c r="H49" s="214" t="str">
        <f>HLOOKUP('Date Drivers'!$B$1,'Date Drivers'!$B$2:$AA$54,52)</f>
        <v>С RTD модулем и аналоговым модулем - not available with BiBo6H module in Slot 7</v>
      </c>
      <c r="I49" s="214" t="str">
        <f>HLOOKUP('Date Drivers'!$B$1,'Date Drivers'!$B$2:$AA$54,53)</f>
        <v>С RTD модулем и дискретным модулем - not available with BiBo6H module in Slot 7</v>
      </c>
      <c r="J49" s="214" t="str">
        <f>HLOOKUP('Date Drivers'!$B$1,'Date Drivers'!$B$2:$AA$215,213)</f>
        <v>С аналоговым модулем и дискретным модулем ( доп. 24 дискретных входа)</v>
      </c>
      <c r="K49" s="214" t="str">
        <f>HLOOKUP('Date Drivers'!$B$1,'Date Drivers'!$B$2:$AA$215,214)</f>
        <v>С двумя дискретными модулями  (доп. 24 дискретных входа)</v>
      </c>
      <c r="L49" s="304" t="str">
        <f>HLOOKUP('Date Drivers'!$B$1,'Date Drivers'!$B$2:$AA$245,235)</f>
        <v> </v>
      </c>
      <c r="M49" s="304" t="str">
        <f>HLOOKUP('Date Drivers'!$B$1,'Date Drivers'!$B$2:$AA$245,236)</f>
        <v> </v>
      </c>
      <c r="N49" s="304" t="str">
        <f>HLOOKUP('Date Drivers'!$B$1,'Date Drivers'!$B$2:$AA$245,237)</f>
        <v> </v>
      </c>
      <c r="O49" s="578" t="str">
        <f>HLOOKUP('Date Drivers'!$B$1,'Date Drivers'!$B$2:$AA$245,238)</f>
        <v> </v>
      </c>
      <c r="P49" s="199" t="s">
        <v>1073</v>
      </c>
      <c r="Q49" s="199" t="s">
        <v>1073</v>
      </c>
      <c r="R49" s="199" t="s">
        <v>1073</v>
      </c>
      <c r="S49" s="199" t="s">
        <v>1073</v>
      </c>
    </row>
    <row r="50" spans="1:19" ht="76.5">
      <c r="A50" s="22">
        <v>2</v>
      </c>
      <c r="B50" s="30" t="str">
        <f>VLOOKUP(Tendering!$B$9,$A$34:$X$36,18)</f>
        <v>Vnom = 50 ... 130 V (4-pole)</v>
      </c>
      <c r="C50" s="34">
        <f>VLOOKUP(Tendering!$B$9,$A$34:$X$36,22)</f>
        <v>4</v>
      </c>
      <c r="D50" s="92" t="str">
        <f>HLOOKUP('Date Drivers'!$B$1,'Date Drivers'!$B$2:$AA$501,45)</f>
        <v>Нет</v>
      </c>
      <c r="E50" s="92" t="str">
        <f>HLOOKUP('Date Drivers'!$B$1,'Date Drivers'!$B$2:$AA$54,46)</f>
        <v>С модулем определения перемежающегося КЗ на землю</v>
      </c>
      <c r="F50" s="92" t="str">
        <f>HLOOKUP('Date Drivers'!$B$1,'Date Drivers'!$B$2:$AA$54,47)</f>
        <v>С аналоговым модулем</v>
      </c>
      <c r="G50" s="92" t="str">
        <f>HLOOKUP('Date Drivers'!$B$1,'Date Drivers'!$B$2:$AA$54,48)</f>
        <v>С модулем определения перемежающегося КЗ на землю и аналоговым модулем</v>
      </c>
      <c r="H50" s="92" t="str">
        <f>HLOOKUP('Date Drivers'!$B$1,'Date Drivers'!$B$2:$AA$54,49)</f>
        <v>24 дискретных входа </v>
      </c>
      <c r="I50" s="92" t="str">
        <f>HLOOKUP('Date Drivers'!$B$1,'Date Drivers'!$B$2:$AA$54,50)</f>
        <v>24 дискретных входа и  модуль для определения перемежающегося КЗ на землю</v>
      </c>
      <c r="J50" s="214" t="str">
        <f>HLOOKUP('Date Drivers'!$B$1,'Date Drivers'!$B$2:$AA$54,51)</f>
        <v>С RTD модулем - not available with BiBo6H module in Slot 7</v>
      </c>
      <c r="K50" s="214" t="str">
        <f>HLOOKUP('Date Drivers'!$B$1,'Date Drivers'!$B$2:$AA$54,52)</f>
        <v>С RTD модулем и аналоговым модулем - not available with BiBo6H module in Slot 7</v>
      </c>
      <c r="L50" s="214" t="str">
        <f>HLOOKUP('Date Drivers'!$B$1,'Date Drivers'!$B$2:$AA$54,53)</f>
        <v>С RTD модулем и дискретным модулем - not available with BiBo6H module in Slot 7</v>
      </c>
      <c r="M50" s="214" t="str">
        <f>HLOOKUP('Date Drivers'!$B$1,'Date Drivers'!$B$2:$AA$215,213)</f>
        <v>С аналоговым модулем и дискретным модулем ( доп. 24 дискретных входа)</v>
      </c>
      <c r="N50" s="214" t="str">
        <f>HLOOKUP('Date Drivers'!$B$1,'Date Drivers'!$B$2:$AA$215,214)</f>
        <v>С двумя дискретными модулями  (доп. 24 дискретных входа)</v>
      </c>
      <c r="O50" s="578" t="str">
        <f>HLOOKUP('Date Drivers'!$B$1,'Date Drivers'!$B$2:$AA$245,235)</f>
        <v> </v>
      </c>
      <c r="P50" s="578" t="str">
        <f>HLOOKUP('Date Drivers'!$B$1,'Date Drivers'!$B$2:$AA$245,236)</f>
        <v> </v>
      </c>
      <c r="Q50" s="578" t="str">
        <f>HLOOKUP('Date Drivers'!$B$1,'Date Drivers'!$B$2:$AA$245,237)</f>
        <v> </v>
      </c>
      <c r="R50" s="578" t="str">
        <f>HLOOKUP('Date Drivers'!$B$1,'Date Drivers'!$B$2:$AA$245,238)</f>
        <v> </v>
      </c>
      <c r="S50" s="578" t="str">
        <f>HLOOKUP('Date Drivers'!$B$1,'Date Drivers'!$B$2:$AA$245,239)</f>
        <v> </v>
      </c>
    </row>
    <row r="51" spans="1:19" ht="76.5">
      <c r="A51" s="22">
        <v>3</v>
      </c>
      <c r="B51" s="30" t="str">
        <f>VLOOKUP(Tendering!$B$9,$A$34:$X$36,19)</f>
        <v>Vnom = 50 ... 130 V (5-pole) цепи синхронизма</v>
      </c>
      <c r="C51" s="34">
        <f>VLOOKUP(Tendering!$B$9,$A$34:$X$36,23)</f>
        <v>5</v>
      </c>
      <c r="D51" s="92" t="str">
        <f>HLOOKUP('Date Drivers'!$B$1,'Date Drivers'!$B$2:$AA$501,45)</f>
        <v>Нет</v>
      </c>
      <c r="E51" s="92" t="str">
        <f>HLOOKUP('Date Drivers'!$B$1,'Date Drivers'!$B$2:$AA$54,46)</f>
        <v>С модулем определения перемежающегося КЗ на землю</v>
      </c>
      <c r="F51" s="92" t="str">
        <f>HLOOKUP('Date Drivers'!$B$1,'Date Drivers'!$B$2:$AA$54,47)</f>
        <v>С аналоговым модулем</v>
      </c>
      <c r="G51" s="92" t="str">
        <f>HLOOKUP('Date Drivers'!$B$1,'Date Drivers'!$B$2:$AA$54,48)</f>
        <v>С модулем определения перемежающегося КЗ на землю и аналоговым модулем</v>
      </c>
      <c r="H51" s="92" t="str">
        <f>HLOOKUP('Date Drivers'!$B$1,'Date Drivers'!$B$2:$AA$54,49)</f>
        <v>24 дискретных входа </v>
      </c>
      <c r="I51" s="92" t="str">
        <f>HLOOKUP('Date Drivers'!$B$1,'Date Drivers'!$B$2:$AA$54,50)</f>
        <v>24 дискретных входа и  модуль для определения перемежающегося КЗ на землю</v>
      </c>
      <c r="J51" s="214" t="str">
        <f>HLOOKUP('Date Drivers'!$B$1,'Date Drivers'!$B$2:$AA$54,51)</f>
        <v>С RTD модулем - not available with BiBo6H module in Slot 7</v>
      </c>
      <c r="K51" s="214" t="str">
        <f>HLOOKUP('Date Drivers'!$B$1,'Date Drivers'!$B$2:$AA$54,52)</f>
        <v>С RTD модулем и аналоговым модулем - not available with BiBo6H module in Slot 7</v>
      </c>
      <c r="L51" s="214" t="str">
        <f>HLOOKUP('Date Drivers'!$B$1,'Date Drivers'!$B$2:$AA$54,53)</f>
        <v>С RTD модулем и дискретным модулем - not available with BiBo6H module in Slot 7</v>
      </c>
      <c r="M51" s="214" t="str">
        <f>HLOOKUP('Date Drivers'!$B$1,'Date Drivers'!$B$2:$AA$215,213)</f>
        <v>С аналоговым модулем и дискретным модулем ( доп. 24 дискретных входа)</v>
      </c>
      <c r="N51" s="214" t="str">
        <f>HLOOKUP('Date Drivers'!$B$1,'Date Drivers'!$B$2:$AA$215,214)</f>
        <v>С двумя дискретными модулями  (доп. 24 дискретных входа)</v>
      </c>
      <c r="O51" s="578" t="str">
        <f>HLOOKUP('Date Drivers'!$B$1,'Date Drivers'!$B$2:$AA$245,235)</f>
        <v> </v>
      </c>
      <c r="P51" s="578" t="str">
        <f>HLOOKUP('Date Drivers'!$B$1,'Date Drivers'!$B$2:$AA$245,236)</f>
        <v> </v>
      </c>
      <c r="Q51" s="578" t="str">
        <f>HLOOKUP('Date Drivers'!$B$1,'Date Drivers'!$B$2:$AA$245,237)</f>
        <v> </v>
      </c>
      <c r="R51" s="578" t="str">
        <f>HLOOKUP('Date Drivers'!$B$1,'Date Drivers'!$B$2:$AA$245,238)</f>
        <v> </v>
      </c>
      <c r="S51" s="578" t="str">
        <f>HLOOKUP('Date Drivers'!$B$1,'Date Drivers'!$B$2:$AA$245,239)</f>
        <v> </v>
      </c>
    </row>
    <row r="52" spans="1:19" ht="76.5">
      <c r="A52" s="35">
        <v>4</v>
      </c>
      <c r="B52" s="31" t="str">
        <f>VLOOKUP(Tendering!$B$9,$A$34:$X$36,20)</f>
        <v> </v>
      </c>
      <c r="C52" s="40" t="str">
        <f>VLOOKUP(Tendering!$B$9,$A$34:$X$36,24)</f>
        <v>*</v>
      </c>
      <c r="D52" s="93" t="str">
        <f>HLOOKUP('Date Drivers'!$B$1,'Date Drivers'!$B$2:$AA$501,45)</f>
        <v>Нет</v>
      </c>
      <c r="E52" s="93" t="str">
        <f>HLOOKUP('Date Drivers'!$B$1,'Date Drivers'!$B$2:$AA$54,46)</f>
        <v>С модулем определения перемежающегося КЗ на землю</v>
      </c>
      <c r="F52" s="93" t="str">
        <f>HLOOKUP('Date Drivers'!$B$1,'Date Drivers'!$B$2:$AA$54,47)</f>
        <v>С аналоговым модулем</v>
      </c>
      <c r="G52" s="93" t="str">
        <f>HLOOKUP('Date Drivers'!$B$1,'Date Drivers'!$B$2:$AA$54,48)</f>
        <v>С модулем определения перемежающегося КЗ на землю и аналоговым модулем</v>
      </c>
      <c r="H52" s="93" t="str">
        <f>HLOOKUP('Date Drivers'!$B$1,'Date Drivers'!$B$2:$AA$54,49)</f>
        <v>24 дискретных входа </v>
      </c>
      <c r="I52" s="93" t="str">
        <f>HLOOKUP('Date Drivers'!$B$1,'Date Drivers'!$B$2:$AA$54,50)</f>
        <v>24 дискретных входа и  модуль для определения перемежающегося КЗ на землю</v>
      </c>
      <c r="J52" s="239" t="str">
        <f>HLOOKUP('Date Drivers'!$B$1,'Date Drivers'!$B$2:$AA$54,51)</f>
        <v>С RTD модулем - not available with BiBo6H module in Slot 7</v>
      </c>
      <c r="K52" s="239" t="str">
        <f>HLOOKUP('Date Drivers'!$B$1,'Date Drivers'!$B$2:$AA$54,52)</f>
        <v>С RTD модулем и аналоговым модулем - not available with BiBo6H module in Slot 7</v>
      </c>
      <c r="L52" s="239" t="str">
        <f>HLOOKUP('Date Drivers'!$B$1,'Date Drivers'!$B$2:$AA$54,53)</f>
        <v>С RTD модулем и дискретным модулем - not available with BiBo6H module in Slot 7</v>
      </c>
      <c r="M52" s="239" t="str">
        <f>HLOOKUP('Date Drivers'!$B$1,'Date Drivers'!$B$2:$AA$215,213)</f>
        <v>С аналоговым модулем и дискретным модулем ( доп. 24 дискретных входа)</v>
      </c>
      <c r="N52" s="239" t="str">
        <f>HLOOKUP('Date Drivers'!$B$1,'Date Drivers'!$B$2:$AA$215,214)</f>
        <v>С двумя дискретными модулями  (доп. 24 дискретных входа)</v>
      </c>
      <c r="O52" s="578" t="str">
        <f>HLOOKUP('Date Drivers'!$B$1,'Date Drivers'!$B$2:$AA$245,235)</f>
        <v> </v>
      </c>
      <c r="P52" s="578" t="str">
        <f>HLOOKUP('Date Drivers'!$B$1,'Date Drivers'!$B$2:$AA$245,236)</f>
        <v> </v>
      </c>
      <c r="Q52" s="578" t="str">
        <f>HLOOKUP('Date Drivers'!$B$1,'Date Drivers'!$B$2:$AA$245,237)</f>
        <v> </v>
      </c>
      <c r="R52" s="578" t="str">
        <f>HLOOKUP('Date Drivers'!$B$1,'Date Drivers'!$B$2:$AA$245,238)</f>
        <v> </v>
      </c>
      <c r="S52" s="578" t="str">
        <f>HLOOKUP('Date Drivers'!$B$1,'Date Drivers'!$B$2:$AA$245,239)</f>
        <v> </v>
      </c>
    </row>
    <row r="53" spans="1:8" ht="12.75">
      <c r="A53" s="9"/>
      <c r="B53" s="30"/>
      <c r="C53" s="9"/>
      <c r="H53"/>
    </row>
    <row r="54" spans="1:8" ht="12.75">
      <c r="A54" s="33"/>
      <c r="C54" s="28"/>
      <c r="H54"/>
    </row>
    <row r="55" spans="1:8" ht="12.75">
      <c r="A55" s="22">
        <v>1</v>
      </c>
      <c r="B55" s="30" t="str">
        <f>HLOOKUP('Date Drivers'!$B$1,'Date Drivers'!$B$2:$Z$23,21)</f>
        <v>Нет</v>
      </c>
      <c r="C55" s="97">
        <v>0</v>
      </c>
      <c r="H55"/>
    </row>
    <row r="56" spans="1:8" ht="12.75">
      <c r="A56" s="35">
        <v>2</v>
      </c>
      <c r="B56" s="31" t="str">
        <f>HLOOKUP('Date Drivers'!$B$1,'Date Drivers'!$B$2:$Z$23,22)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C56" s="83">
        <v>5</v>
      </c>
      <c r="H56"/>
    </row>
    <row r="57" spans="1:8" ht="12.75">
      <c r="A57" s="9"/>
      <c r="B57" s="30"/>
      <c r="C57" s="32"/>
      <c r="H57"/>
    </row>
    <row r="58" spans="1:8" ht="12.75">
      <c r="A58" s="33"/>
      <c r="C58" s="28"/>
      <c r="D58" s="305" t="str">
        <f>VLOOKUP(Tendering!B14,A59:B68,2,FALSE)</f>
        <v>60 ... 250 VDC / 100 ... 230 VAC и 6 релейных выходов</v>
      </c>
      <c r="E58" s="305" t="str">
        <f>VLOOKUP(D58,D140:E156,2,FALSE)</f>
        <v>H</v>
      </c>
      <c r="H58"/>
    </row>
    <row r="59" spans="1:8" ht="12.75">
      <c r="A59" s="22">
        <v>1</v>
      </c>
      <c r="B59" s="30" t="str">
        <f>HLOOKUP('Date Drivers'!$B$1,'Date Drivers'!$B$2:$Z$30,24)</f>
        <v>24 … 60Vdc</v>
      </c>
      <c r="C59" s="96">
        <v>3</v>
      </c>
      <c r="H59"/>
    </row>
    <row r="60" spans="1:8" ht="12.75">
      <c r="A60" s="22">
        <v>2</v>
      </c>
      <c r="B60" s="30" t="str">
        <f>HLOOKUP('Date Drivers'!$B$1,'Date Drivers'!$B$2:$Z$30,25)</f>
        <v>60 ... 250Vdc/100 ... 230Vac</v>
      </c>
      <c r="C60" s="82">
        <v>4</v>
      </c>
      <c r="H60"/>
    </row>
    <row r="61" spans="1:8" ht="12.75">
      <c r="A61" s="22">
        <v>3</v>
      </c>
      <c r="B61" s="30" t="str">
        <f>HLOOKUP('Date Drivers'!$B$1,'Date Drivers'!$B$2:$Z$30,26)</f>
        <v>24 ... 60 VDC и 6 релейных выходов</v>
      </c>
      <c r="C61" s="82">
        <v>6</v>
      </c>
      <c r="H61"/>
    </row>
    <row r="62" spans="1:8" ht="12.75">
      <c r="A62" s="22">
        <v>4</v>
      </c>
      <c r="B62" s="30" t="str">
        <f>HLOOKUP('Date Drivers'!$B$1,'Date Drivers'!$B$2:$Z$30,27)</f>
        <v>60 ... 250 VDC / 100 ... 230 VAC и 6 релейных выходов</v>
      </c>
      <c r="C62" s="82">
        <v>7</v>
      </c>
      <c r="H62"/>
    </row>
    <row r="63" spans="1:8" ht="12.75">
      <c r="A63" s="22">
        <v>5</v>
      </c>
      <c r="B63" s="30" t="str">
        <f>HLOOKUP('Date Drivers'!$B$1,'Date Drivers'!$B$2:$Z$30,28)</f>
        <v>24 ... 60 VDC и 6 релейных входов и 3 дискретных выхода</v>
      </c>
      <c r="C63" s="82">
        <v>8</v>
      </c>
      <c r="H63"/>
    </row>
    <row r="64" spans="1:3" s="15" customFormat="1" ht="12.75">
      <c r="A64" s="22">
        <v>6</v>
      </c>
      <c r="B64" s="30" t="str">
        <f>HLOOKUP('Date Drivers'!$B$1,'Date Drivers'!$B$2:$Z$30,29)</f>
        <v>60 … 250Vdc / 100 … 230Vac и 6 релейных входов и 3 дискретных выхода</v>
      </c>
      <c r="C64" s="82">
        <v>9</v>
      </c>
    </row>
    <row r="65" spans="1:8" ht="12.75">
      <c r="A65" s="22">
        <v>7</v>
      </c>
      <c r="B65" s="30" t="str">
        <f>HLOOKUP('Date Drivers'!$B$1,'Date Drivers'!$B$2:$Z$40,30)</f>
        <v>24 ... 60 VDC и 4 сильноточных контакта</v>
      </c>
      <c r="C65" s="240" t="str">
        <f>IF(Configurator!$L$7&gt;"-307","A","9")</f>
        <v>A</v>
      </c>
      <c r="H65"/>
    </row>
    <row r="66" spans="1:8" ht="12.75">
      <c r="A66" s="22">
        <v>8</v>
      </c>
      <c r="B66" s="30" t="str">
        <f>HLOOKUP('Date Drivers'!$B$1,'Date Drivers'!$B$2:$Z$40,31)</f>
        <v>60 ... 250 VDC / 100 ... 230 VAC и 4 сильноточных контакта</v>
      </c>
      <c r="C66" s="240" t="str">
        <f>IF(Configurator!$L$7&gt;"-307","B","9")</f>
        <v>B</v>
      </c>
      <c r="H66"/>
    </row>
    <row r="67" spans="1:8" ht="12.75">
      <c r="A67" s="22">
        <v>9</v>
      </c>
      <c r="B67" s="30" t="str">
        <f>HLOOKUP('Date Drivers'!$B$1,'Date Drivers'!$B$2:$Z$40,32)</f>
        <v> </v>
      </c>
      <c r="C67" s="240" t="str">
        <f>IF(Configurator!$L$7&gt;"-307","C","9")</f>
        <v>C</v>
      </c>
      <c r="H67"/>
    </row>
    <row r="68" spans="1:8" ht="12.75">
      <c r="A68" s="35">
        <v>10</v>
      </c>
      <c r="B68" s="31" t="str">
        <f>HLOOKUP('Date Drivers'!$B$1,'Date Drivers'!$B$2:$Z$40,33)</f>
        <v> </v>
      </c>
      <c r="C68" s="241" t="str">
        <f>IF(Configurator!$L$7&gt;"-307","D","9")</f>
        <v>D</v>
      </c>
      <c r="H68"/>
    </row>
    <row r="69" spans="1:19" ht="12.75">
      <c r="A69" s="9"/>
      <c r="B69" s="30"/>
      <c r="C69" s="9"/>
      <c r="H69"/>
      <c r="R69" s="300" t="str">
        <f>VLOOKUP(Tendering!B15,A71:B86,2,FALSE)</f>
        <v>24 дискретных входа </v>
      </c>
      <c r="S69" s="300">
        <f>VLOOKUP(R69,R70:S96,2,FALSE)</f>
        <v>4</v>
      </c>
    </row>
    <row r="70" spans="1:22" ht="12.75">
      <c r="A70" s="41"/>
      <c r="C70" s="4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R70" s="301" t="s">
        <v>1347</v>
      </c>
      <c r="S70" s="301">
        <v>0</v>
      </c>
      <c r="T70" s="300">
        <f>Configurator!D22</f>
        <v>0</v>
      </c>
      <c r="U70" s="572"/>
      <c r="V70" s="572"/>
    </row>
    <row r="71" spans="1:31" ht="12.75">
      <c r="A71" s="61">
        <v>1</v>
      </c>
      <c r="B71" s="92" t="str">
        <f>VLOOKUP(Tendering!$B$12,$A$49:$Y$53,4)</f>
        <v>Нет</v>
      </c>
      <c r="C71" s="84"/>
      <c r="D71" s="92" t="str">
        <f>HLOOKUP('Date Drivers'!$B$1,'Date Drivers'!$B$2:$AA$179,146)</f>
        <v>Нет</v>
      </c>
      <c r="E71" s="92" t="str">
        <f>HLOOKUP('Date Drivers'!$B$1,'Date Drivers'!$B$2:$AA$179,147)</f>
        <v>Для связи используется RS485 по витой паре</v>
      </c>
      <c r="F71" s="92" t="str">
        <f>HLOOKUP('Date Drivers'!$B$1,'Date Drivers'!$B$2:$AA$179,148)</f>
        <v>For connection to plastic fibre, FSMA connector</v>
      </c>
      <c r="G71" s="92" t="str">
        <f>HLOOKUP('Date Drivers'!$B$1,'Date Drivers'!$B$2:$AA$179,149)</f>
        <v>Для связи используется стекло-оптоволокно (ST connector)</v>
      </c>
      <c r="H71" s="92" t="str">
        <f>HLOOKUP('Date Drivers'!$B$1,'Date Drivers'!$B$2:$AA$179,150)</f>
        <v>Для связи используется RS232 по витой паре</v>
      </c>
      <c r="I71" s="92" t="str">
        <f>HLOOKUP('Date Drivers'!$B$1,'Date Drivers'!$B$2:$AA$179,152)</f>
        <v>-951</v>
      </c>
      <c r="J71" s="92" t="str">
        <f>HLOOKUP('Date Drivers'!$B$1,'Date Drivers'!$B$2:$AA$179,153)</f>
        <v>-952</v>
      </c>
      <c r="K71" s="92" t="str">
        <f>HLOOKUP('Date Drivers'!$B$1,'Date Drivers'!$B$2:$AA$179,154)</f>
        <v>-954</v>
      </c>
      <c r="L71" s="92" t="str">
        <f>HLOOKUP('Date Drivers'!$B$1,'Date Drivers'!$B$2:$AA$179,155)</f>
        <v>-955</v>
      </c>
      <c r="M71" s="98" t="str">
        <f>IF(H71=" ","","A")</f>
        <v>A</v>
      </c>
      <c r="N71" s="98" t="str">
        <f>IF(H71=" ","","B")</f>
        <v>B</v>
      </c>
      <c r="O71" s="98" t="str">
        <f>IF(G71=" ","","C")</f>
        <v>C</v>
      </c>
      <c r="P71" s="98" t="str">
        <f>IF(H71=" ","","D")</f>
        <v>D</v>
      </c>
      <c r="R71" s="303" t="s">
        <v>1451</v>
      </c>
      <c r="S71" s="302">
        <v>1</v>
      </c>
      <c r="T71" s="574">
        <v>0</v>
      </c>
      <c r="U71" s="572" t="s">
        <v>1085</v>
      </c>
      <c r="V71" s="572" t="s">
        <v>1085</v>
      </c>
      <c r="W71" t="s">
        <v>1210</v>
      </c>
      <c r="X71" t="s">
        <v>1212</v>
      </c>
      <c r="Y71" t="s">
        <v>873</v>
      </c>
      <c r="Z71" t="s">
        <v>875</v>
      </c>
      <c r="AA71" t="s">
        <v>877</v>
      </c>
      <c r="AB71" t="s">
        <v>878</v>
      </c>
      <c r="AC71" t="s">
        <v>1091</v>
      </c>
      <c r="AD71" t="s">
        <v>1094</v>
      </c>
      <c r="AE71" t="s">
        <v>1096</v>
      </c>
    </row>
    <row r="72" spans="1:31" ht="12.75">
      <c r="A72" s="61">
        <v>2</v>
      </c>
      <c r="B72" s="92" t="str">
        <f>VLOOKUP(Tendering!$B$12,$A$49:$Y$53,5)</f>
        <v>С модулем определения перемежающегося КЗ на землю</v>
      </c>
      <c r="C72" s="98"/>
      <c r="D72" s="92" t="str">
        <f>HLOOKUP('Date Drivers'!$B$1,'Date Drivers'!$B$2:$AA$179,173)</f>
        <v>Не поставляется с модулем определения перемежающегося КЗ на землю</v>
      </c>
      <c r="E72" s="121" t="s">
        <v>1073</v>
      </c>
      <c r="F72" s="121" t="s">
        <v>1073</v>
      </c>
      <c r="G72" s="121" t="s">
        <v>1073</v>
      </c>
      <c r="H72" s="44" t="s">
        <v>1073</v>
      </c>
      <c r="I72" s="121" t="s">
        <v>1073</v>
      </c>
      <c r="J72" s="44" t="s">
        <v>1073</v>
      </c>
      <c r="K72" s="121" t="s">
        <v>1073</v>
      </c>
      <c r="L72" s="44" t="s">
        <v>1073</v>
      </c>
      <c r="M72" s="44" t="s">
        <v>1073</v>
      </c>
      <c r="N72" s="44" t="s">
        <v>1073</v>
      </c>
      <c r="O72" s="44" t="s">
        <v>1073</v>
      </c>
      <c r="P72" s="44" t="s">
        <v>1073</v>
      </c>
      <c r="Q72" s="72"/>
      <c r="R72" s="301" t="s">
        <v>1397</v>
      </c>
      <c r="S72" s="301">
        <v>2</v>
      </c>
      <c r="T72" s="575">
        <v>1</v>
      </c>
      <c r="U72" s="576" t="s">
        <v>1629</v>
      </c>
      <c r="V72" s="576" t="s">
        <v>199</v>
      </c>
      <c r="W72" s="383" t="s">
        <v>1073</v>
      </c>
      <c r="X72" t="s">
        <v>1073</v>
      </c>
      <c r="Y72" t="s">
        <v>1073</v>
      </c>
      <c r="Z72" t="s">
        <v>1073</v>
      </c>
      <c r="AA72" t="s">
        <v>1073</v>
      </c>
      <c r="AB72" t="s">
        <v>1073</v>
      </c>
      <c r="AC72" t="s">
        <v>1073</v>
      </c>
      <c r="AD72" t="s">
        <v>1073</v>
      </c>
      <c r="AE72" t="s">
        <v>1073</v>
      </c>
    </row>
    <row r="73" spans="1:31" ht="12.75">
      <c r="A73" s="61">
        <v>3</v>
      </c>
      <c r="B73" s="92" t="str">
        <f>VLOOKUP(Tendering!$B$12,$A$49:$Y$53,6)</f>
        <v>С аналоговым модулем</v>
      </c>
      <c r="C73" s="61"/>
      <c r="D73" s="92" t="str">
        <f>HLOOKUP('Date Drivers'!$B$1,'Date Drivers'!$B$2:$AA$179,146)</f>
        <v>Нет</v>
      </c>
      <c r="E73" s="92" t="str">
        <f>HLOOKUP('Date Drivers'!$B$1,'Date Drivers'!$B$2:$AA$179,147)</f>
        <v>Для связи используется RS485 по витой паре</v>
      </c>
      <c r="F73" s="92" t="str">
        <f>HLOOKUP('Date Drivers'!$B$1,'Date Drivers'!$B$2:$AA$179,148)</f>
        <v>For connection to plastic fibre, FSMA connector</v>
      </c>
      <c r="G73" s="92" t="str">
        <f>HLOOKUP('Date Drivers'!$B$1,'Date Drivers'!$B$2:$AA$179,149)</f>
        <v>Для связи используется стекло-оптоволокно (ST connector)</v>
      </c>
      <c r="H73" s="92" t="str">
        <f>HLOOKUP('Date Drivers'!$B$1,'Date Drivers'!$B$2:$AA$179,150)</f>
        <v>Для связи используется RS232 по витой паре</v>
      </c>
      <c r="I73" s="92" t="str">
        <f>HLOOKUP('Date Drivers'!$B$1,'Date Drivers'!$B$2:$AA$179,152)</f>
        <v>-951</v>
      </c>
      <c r="J73" s="92" t="str">
        <f>HLOOKUP('Date Drivers'!$B$1,'Date Drivers'!$B$2:$AA$179,153)</f>
        <v>-952</v>
      </c>
      <c r="K73" s="92" t="str">
        <f>HLOOKUP('Date Drivers'!$B$1,'Date Drivers'!$B$2:$AA$179,154)</f>
        <v>-954</v>
      </c>
      <c r="L73" s="92" t="str">
        <f>HLOOKUP('Date Drivers'!$B$1,'Date Drivers'!$B$2:$AA$179,155)</f>
        <v>-955</v>
      </c>
      <c r="M73" s="98" t="str">
        <f>IF(H73=" ","","A")</f>
        <v>A</v>
      </c>
      <c r="N73" s="98" t="str">
        <f>IF(H73=" ","","B")</f>
        <v>B</v>
      </c>
      <c r="O73" s="98" t="str">
        <f>IF(G73=" ","","C")</f>
        <v>C</v>
      </c>
      <c r="P73" s="98" t="str">
        <f>IF(H73=" ","","D")</f>
        <v>D</v>
      </c>
      <c r="Q73" s="72"/>
      <c r="R73" s="301" t="s">
        <v>1452</v>
      </c>
      <c r="S73" s="301">
        <v>3</v>
      </c>
      <c r="T73" s="575">
        <v>2</v>
      </c>
      <c r="U73" s="576" t="s">
        <v>1226</v>
      </c>
      <c r="V73" s="576" t="s">
        <v>1085</v>
      </c>
      <c r="W73" t="s">
        <v>1210</v>
      </c>
      <c r="X73" t="s">
        <v>1212</v>
      </c>
      <c r="Y73" t="s">
        <v>873</v>
      </c>
      <c r="Z73" t="s">
        <v>875</v>
      </c>
      <c r="AA73" t="s">
        <v>877</v>
      </c>
      <c r="AB73" t="s">
        <v>878</v>
      </c>
      <c r="AC73" t="s">
        <v>1091</v>
      </c>
      <c r="AD73" t="s">
        <v>1094</v>
      </c>
      <c r="AE73" t="s">
        <v>1096</v>
      </c>
    </row>
    <row r="74" spans="1:31" ht="12.75">
      <c r="A74" s="61">
        <v>4</v>
      </c>
      <c r="B74" s="92" t="str">
        <f>VLOOKUP(Tendering!$B$12,$A$49:$Y$53,7)</f>
        <v>С модулем определения перемежающегося КЗ на землю и аналоговым модулем</v>
      </c>
      <c r="C74" s="98"/>
      <c r="D74" s="92" t="str">
        <f>HLOOKUP('Date Drivers'!$B$1,'Date Drivers'!$B$2:$AA$179,173)</f>
        <v>Не поставляется с модулем определения перемежающегося КЗ на землю</v>
      </c>
      <c r="E74" s="121" t="s">
        <v>1073</v>
      </c>
      <c r="F74" s="121" t="s">
        <v>1073</v>
      </c>
      <c r="G74" s="121" t="s">
        <v>1073</v>
      </c>
      <c r="H74" s="44" t="s">
        <v>1073</v>
      </c>
      <c r="I74" s="44" t="s">
        <v>1073</v>
      </c>
      <c r="J74" s="44" t="s">
        <v>1073</v>
      </c>
      <c r="K74" s="44" t="s">
        <v>1073</v>
      </c>
      <c r="L74" s="44" t="s">
        <v>1073</v>
      </c>
      <c r="M74" s="44" t="s">
        <v>1073</v>
      </c>
      <c r="N74" s="44" t="s">
        <v>1073</v>
      </c>
      <c r="O74" s="44" t="s">
        <v>1073</v>
      </c>
      <c r="P74" s="44" t="s">
        <v>1073</v>
      </c>
      <c r="Q74" s="72"/>
      <c r="R74" s="303" t="s">
        <v>1394</v>
      </c>
      <c r="S74" s="303">
        <v>4</v>
      </c>
      <c r="T74" s="575">
        <v>3</v>
      </c>
      <c r="U74" s="576" t="s">
        <v>1630</v>
      </c>
      <c r="V74" s="576" t="s">
        <v>199</v>
      </c>
      <c r="W74" t="s">
        <v>1073</v>
      </c>
      <c r="X74" t="s">
        <v>1073</v>
      </c>
      <c r="Y74" t="s">
        <v>1073</v>
      </c>
      <c r="Z74" t="s">
        <v>1073</v>
      </c>
      <c r="AA74" t="s">
        <v>1073</v>
      </c>
      <c r="AB74" t="s">
        <v>1073</v>
      </c>
      <c r="AC74" t="s">
        <v>1073</v>
      </c>
      <c r="AD74" t="s">
        <v>1073</v>
      </c>
      <c r="AE74" t="s">
        <v>1073</v>
      </c>
    </row>
    <row r="75" spans="1:31" ht="12.75">
      <c r="A75" s="61">
        <v>5</v>
      </c>
      <c r="B75" s="92" t="str">
        <f>VLOOKUP(Tendering!$B$12,$A$49:$Y$53,8)</f>
        <v>24 дискретных входа </v>
      </c>
      <c r="C75" s="61"/>
      <c r="D75" s="92" t="str">
        <f>HLOOKUP('Date Drivers'!$B$1,'Date Drivers'!$B$2:$AA$179,146)</f>
        <v>Нет</v>
      </c>
      <c r="E75" s="92" t="str">
        <f>HLOOKUP('Date Drivers'!$B$1,'Date Drivers'!$B$2:$AA$179,147)</f>
        <v>Для связи используется RS485 по витой паре</v>
      </c>
      <c r="F75" s="92" t="str">
        <f>HLOOKUP('Date Drivers'!$B$1,'Date Drivers'!$B$2:$AA$179,148)</f>
        <v>For connection to plastic fibre, FSMA connector</v>
      </c>
      <c r="G75" s="92" t="str">
        <f>HLOOKUP('Date Drivers'!$B$1,'Date Drivers'!$B$2:$AA$179,149)</f>
        <v>Для связи используется стекло-оптоволокно (ST connector)</v>
      </c>
      <c r="H75" s="92" t="str">
        <f>HLOOKUP('Date Drivers'!$B$1,'Date Drivers'!$B$2:$AA$179,150)</f>
        <v>Для связи используется RS232 по витой паре</v>
      </c>
      <c r="I75" s="92" t="str">
        <f>HLOOKUP('Date Drivers'!$B$1,'Date Drivers'!$B$2:$AA$179,152)</f>
        <v>-951</v>
      </c>
      <c r="J75" s="92" t="str">
        <f>HLOOKUP('Date Drivers'!$B$1,'Date Drivers'!$B$2:$AA$179,153)</f>
        <v>-952</v>
      </c>
      <c r="K75" s="92" t="str">
        <f>HLOOKUP('Date Drivers'!$B$1,'Date Drivers'!$B$2:$AA$179,154)</f>
        <v>-954</v>
      </c>
      <c r="L75" s="92" t="str">
        <f>HLOOKUP('Date Drivers'!$B$1,'Date Drivers'!$B$2:$AA$179,155)</f>
        <v>-955</v>
      </c>
      <c r="M75" s="98" t="str">
        <f>IF(H75=" ","","A")</f>
        <v>A</v>
      </c>
      <c r="N75" s="98" t="str">
        <f>IF(H75=" ","","B")</f>
        <v>B</v>
      </c>
      <c r="O75" s="98" t="str">
        <f>IF(G75=" ","","C")</f>
        <v>C</v>
      </c>
      <c r="P75" s="98" t="str">
        <f>IF(H75=" ","","D")</f>
        <v>D</v>
      </c>
      <c r="Q75" s="72"/>
      <c r="R75" s="301" t="s">
        <v>1453</v>
      </c>
      <c r="S75" s="301">
        <v>5</v>
      </c>
      <c r="T75" s="575">
        <v>4</v>
      </c>
      <c r="U75" s="576" t="s">
        <v>1225</v>
      </c>
      <c r="V75" s="576" t="s">
        <v>1085</v>
      </c>
      <c r="W75" t="s">
        <v>1210</v>
      </c>
      <c r="X75" t="s">
        <v>1212</v>
      </c>
      <c r="Y75" t="s">
        <v>873</v>
      </c>
      <c r="Z75" t="s">
        <v>875</v>
      </c>
      <c r="AA75" t="s">
        <v>877</v>
      </c>
      <c r="AB75" t="s">
        <v>878</v>
      </c>
      <c r="AC75" t="s">
        <v>1091</v>
      </c>
      <c r="AD75" t="s">
        <v>1094</v>
      </c>
      <c r="AE75" t="s">
        <v>1096</v>
      </c>
    </row>
    <row r="76" spans="1:31" ht="12.75">
      <c r="A76" s="61">
        <v>6</v>
      </c>
      <c r="B76" s="92" t="str">
        <f>VLOOKUP(Tendering!$B$12,$A$49:$Y$53,9)</f>
        <v>24 дискретных входа и  модуль для определения перемежающегося КЗ на землю</v>
      </c>
      <c r="C76" s="98"/>
      <c r="D76" s="92" t="str">
        <f>HLOOKUP('Date Drivers'!$B$1,'Date Drivers'!$B$2:$AA$179,173)</f>
        <v>Не поставляется с модулем определения перемежающегося КЗ на землю</v>
      </c>
      <c r="E76" s="121" t="s">
        <v>1073</v>
      </c>
      <c r="F76" s="121" t="s">
        <v>1073</v>
      </c>
      <c r="G76" s="121" t="s">
        <v>1073</v>
      </c>
      <c r="H76" s="44" t="s">
        <v>1073</v>
      </c>
      <c r="I76" s="44" t="s">
        <v>1073</v>
      </c>
      <c r="J76" s="44" t="s">
        <v>1073</v>
      </c>
      <c r="K76" s="44" t="s">
        <v>1073</v>
      </c>
      <c r="L76" s="44" t="s">
        <v>1073</v>
      </c>
      <c r="M76" s="44" t="s">
        <v>1073</v>
      </c>
      <c r="N76" s="44" t="s">
        <v>1073</v>
      </c>
      <c r="O76" s="44" t="s">
        <v>1073</v>
      </c>
      <c r="P76" s="199" t="s">
        <v>1073</v>
      </c>
      <c r="Q76" s="72"/>
      <c r="R76" s="301" t="s">
        <v>1454</v>
      </c>
      <c r="S76" s="301">
        <v>7</v>
      </c>
      <c r="T76" s="575">
        <v>5</v>
      </c>
      <c r="U76" s="576" t="s">
        <v>1631</v>
      </c>
      <c r="V76" s="576" t="s">
        <v>199</v>
      </c>
      <c r="W76" t="s">
        <v>1073</v>
      </c>
      <c r="X76" t="s">
        <v>1073</v>
      </c>
      <c r="Y76" t="s">
        <v>1073</v>
      </c>
      <c r="Z76" t="s">
        <v>1073</v>
      </c>
      <c r="AA76" t="s">
        <v>1073</v>
      </c>
      <c r="AB76" t="s">
        <v>1073</v>
      </c>
      <c r="AC76" t="s">
        <v>1073</v>
      </c>
      <c r="AD76" t="s">
        <v>1073</v>
      </c>
      <c r="AE76" t="s">
        <v>1073</v>
      </c>
    </row>
    <row r="77" spans="1:31" ht="12.75">
      <c r="A77" s="61">
        <v>7</v>
      </c>
      <c r="B77" s="92" t="str">
        <f>VLOOKUP(Tendering!$B$12,$A$49:$Y$53,10)</f>
        <v>С RTD модулем - not available with BiBo6H module in Slot 7</v>
      </c>
      <c r="C77" s="98"/>
      <c r="D77" s="92" t="str">
        <f>HLOOKUP('Date Drivers'!$B$1,'Date Drivers'!$B$2:$AA$205,204)</f>
        <v>Не поставляется с двумя  дискретными модулями</v>
      </c>
      <c r="E77" s="121" t="s">
        <v>1073</v>
      </c>
      <c r="F77" s="121" t="s">
        <v>1073</v>
      </c>
      <c r="G77" s="121" t="s">
        <v>1073</v>
      </c>
      <c r="H77" s="121" t="s">
        <v>1073</v>
      </c>
      <c r="I77" s="121" t="s">
        <v>1073</v>
      </c>
      <c r="J77" s="121" t="s">
        <v>1073</v>
      </c>
      <c r="K77" s="121" t="s">
        <v>1073</v>
      </c>
      <c r="L77" s="121" t="s">
        <v>1073</v>
      </c>
      <c r="M77" s="121" t="s">
        <v>1073</v>
      </c>
      <c r="N77" s="121" t="s">
        <v>1073</v>
      </c>
      <c r="O77" s="121" t="s">
        <v>1073</v>
      </c>
      <c r="P77" s="121" t="s">
        <v>1073</v>
      </c>
      <c r="Q77" s="72"/>
      <c r="R77" s="301" t="s">
        <v>1455</v>
      </c>
      <c r="S77" s="301">
        <v>8</v>
      </c>
      <c r="T77" s="575">
        <v>7</v>
      </c>
      <c r="U77" s="576" t="s">
        <v>880</v>
      </c>
      <c r="V77" s="576" t="s">
        <v>1647</v>
      </c>
      <c r="W77" t="s">
        <v>1073</v>
      </c>
      <c r="X77" t="s">
        <v>1073</v>
      </c>
      <c r="Y77" t="s">
        <v>1073</v>
      </c>
      <c r="Z77" t="s">
        <v>1073</v>
      </c>
      <c r="AA77" t="s">
        <v>1073</v>
      </c>
      <c r="AB77" t="s">
        <v>1073</v>
      </c>
      <c r="AC77" t="s">
        <v>1073</v>
      </c>
      <c r="AD77" t="s">
        <v>1073</v>
      </c>
      <c r="AE77" t="s">
        <v>1073</v>
      </c>
    </row>
    <row r="78" spans="1:31" ht="12.75">
      <c r="A78" s="61">
        <v>8</v>
      </c>
      <c r="B78" s="92" t="str">
        <f>VLOOKUP(Tendering!$B$12,$A$49:$Y$53,11)</f>
        <v>С RTD модулем и аналоговым модулем - not available with BiBo6H module in Slot 7</v>
      </c>
      <c r="C78" s="98"/>
      <c r="D78" s="92" t="str">
        <f>HLOOKUP('Date Drivers'!$B$1,'Date Drivers'!$B$2:$AA$205,204)</f>
        <v>Не поставляется с двумя  дискретными модулями</v>
      </c>
      <c r="E78" s="121" t="s">
        <v>1073</v>
      </c>
      <c r="F78" s="121" t="s">
        <v>1073</v>
      </c>
      <c r="G78" s="121" t="s">
        <v>1073</v>
      </c>
      <c r="H78" s="121" t="s">
        <v>1073</v>
      </c>
      <c r="I78" s="121" t="s">
        <v>1073</v>
      </c>
      <c r="J78" s="121" t="s">
        <v>1073</v>
      </c>
      <c r="K78" s="121" t="s">
        <v>1073</v>
      </c>
      <c r="L78" s="121" t="s">
        <v>1073</v>
      </c>
      <c r="M78" s="121" t="s">
        <v>1073</v>
      </c>
      <c r="N78" s="121" t="s">
        <v>1073</v>
      </c>
      <c r="O78" s="121" t="s">
        <v>1073</v>
      </c>
      <c r="P78" s="121" t="s">
        <v>1073</v>
      </c>
      <c r="Q78" s="72"/>
      <c r="R78" s="303" t="s">
        <v>1456</v>
      </c>
      <c r="S78" s="303">
        <v>9</v>
      </c>
      <c r="T78" s="575">
        <v>8</v>
      </c>
      <c r="U78" s="576" t="s">
        <v>881</v>
      </c>
      <c r="V78" s="576" t="s">
        <v>1636</v>
      </c>
      <c r="W78" t="s">
        <v>1073</v>
      </c>
      <c r="X78" t="s">
        <v>1073</v>
      </c>
      <c r="Y78" t="s">
        <v>1073</v>
      </c>
      <c r="Z78" t="s">
        <v>1073</v>
      </c>
      <c r="AA78" t="s">
        <v>1073</v>
      </c>
      <c r="AB78" t="s">
        <v>1073</v>
      </c>
      <c r="AC78" t="s">
        <v>1073</v>
      </c>
      <c r="AD78" t="s">
        <v>1073</v>
      </c>
      <c r="AE78" t="s">
        <v>1073</v>
      </c>
    </row>
    <row r="79" spans="1:31" s="15" customFormat="1" ht="12.75">
      <c r="A79" s="61">
        <v>9</v>
      </c>
      <c r="B79" s="92" t="str">
        <f>VLOOKUP(Tendering!$B$12,$A$49:$Y$53,12)</f>
        <v>С RTD модулем и дискретным модулем - not available with BiBo6H module in Slot 7</v>
      </c>
      <c r="C79" s="98"/>
      <c r="D79" s="92" t="str">
        <f>HLOOKUP('Date Drivers'!$B$1,'Date Drivers'!$B$2:$AA$205,204)</f>
        <v>Не поставляется с двумя  дискретными модулями</v>
      </c>
      <c r="E79" s="121" t="s">
        <v>1073</v>
      </c>
      <c r="F79" s="121" t="s">
        <v>1073</v>
      </c>
      <c r="G79" s="121" t="s">
        <v>1073</v>
      </c>
      <c r="H79" s="121" t="s">
        <v>1073</v>
      </c>
      <c r="I79" s="121" t="s">
        <v>1073</v>
      </c>
      <c r="J79" s="121" t="s">
        <v>1073</v>
      </c>
      <c r="K79" s="121" t="s">
        <v>1073</v>
      </c>
      <c r="L79" s="121" t="s">
        <v>1073</v>
      </c>
      <c r="M79" s="121" t="s">
        <v>1073</v>
      </c>
      <c r="N79" s="121" t="s">
        <v>1073</v>
      </c>
      <c r="O79" s="121" t="s">
        <v>1073</v>
      </c>
      <c r="P79" s="121" t="s">
        <v>1073</v>
      </c>
      <c r="Q79" s="72"/>
      <c r="R79" s="301" t="s">
        <v>1387</v>
      </c>
      <c r="S79" s="301" t="s">
        <v>1091</v>
      </c>
      <c r="T79" s="575">
        <v>9</v>
      </c>
      <c r="U79" s="576" t="s">
        <v>882</v>
      </c>
      <c r="V79" s="576" t="s">
        <v>1636</v>
      </c>
      <c r="W79" s="15" t="s">
        <v>1073</v>
      </c>
      <c r="X79" s="15" t="s">
        <v>1073</v>
      </c>
      <c r="Y79" s="15" t="s">
        <v>1073</v>
      </c>
      <c r="Z79" s="15" t="s">
        <v>1073</v>
      </c>
      <c r="AA79" s="15" t="s">
        <v>1073</v>
      </c>
      <c r="AB79" s="15" t="s">
        <v>1073</v>
      </c>
      <c r="AC79" s="15" t="s">
        <v>1073</v>
      </c>
      <c r="AD79" s="15" t="s">
        <v>1073</v>
      </c>
      <c r="AE79" s="15" t="s">
        <v>1073</v>
      </c>
    </row>
    <row r="80" spans="1:31" ht="12.75">
      <c r="A80" s="61">
        <v>10</v>
      </c>
      <c r="B80" s="92" t="str">
        <f>VLOOKUP(Tendering!$B$12,$A$49:$Y$53,13)</f>
        <v>С аналоговым модулем и дискретным модулем ( доп. 24 дискретных входа)</v>
      </c>
      <c r="C80" s="98"/>
      <c r="D80" s="92" t="str">
        <f>HLOOKUP('Date Drivers'!$B$1,'Date Drivers'!$B$2:$AA$179,146)</f>
        <v>Нет</v>
      </c>
      <c r="E80" s="92" t="str">
        <f>HLOOKUP('Date Drivers'!$B$1,'Date Drivers'!$B$2:$AA$179,147)</f>
        <v>Для связи используется RS485 по витой паре</v>
      </c>
      <c r="F80" s="92" t="str">
        <f>HLOOKUP('Date Drivers'!$B$1,'Date Drivers'!$B$2:$AA$179,148)</f>
        <v>For connection to plastic fibre, FSMA connector</v>
      </c>
      <c r="G80" s="92" t="str">
        <f>HLOOKUP('Date Drivers'!$B$1,'Date Drivers'!$B$2:$AA$179,149)</f>
        <v>Для связи используется стекло-оптоволокно (ST connector)</v>
      </c>
      <c r="H80" s="92" t="str">
        <f>HLOOKUP('Date Drivers'!$B$1,'Date Drivers'!$B$2:$AA$179,150)</f>
        <v>Для связи используется RS232 по витой паре</v>
      </c>
      <c r="I80" s="92" t="str">
        <f>HLOOKUP('Date Drivers'!$B$1,'Date Drivers'!$B$2:$AA$179,152)</f>
        <v>-951</v>
      </c>
      <c r="J80" s="92" t="str">
        <f>HLOOKUP('Date Drivers'!$B$1,'Date Drivers'!$B$2:$AA$179,153)</f>
        <v>-952</v>
      </c>
      <c r="K80" s="92" t="str">
        <f>HLOOKUP('Date Drivers'!$B$1,'Date Drivers'!$B$2:$AA$179,154)</f>
        <v>-954</v>
      </c>
      <c r="L80" s="92" t="str">
        <f>HLOOKUP('Date Drivers'!$B$1,'Date Drivers'!$B$2:$AA$179,155)</f>
        <v>-955</v>
      </c>
      <c r="M80" s="98" t="str">
        <f>IF(H80=" ","","A")</f>
        <v>A</v>
      </c>
      <c r="N80" s="98" t="str">
        <f>IF(H80=" ","","B")</f>
        <v>B</v>
      </c>
      <c r="O80" s="98" t="str">
        <f>IF(G80=" ","","C")</f>
        <v>C</v>
      </c>
      <c r="P80" s="98" t="str">
        <f>IF(H80=" ","","D")</f>
        <v>D</v>
      </c>
      <c r="Q80" s="72"/>
      <c r="R80" s="301" t="s">
        <v>1385</v>
      </c>
      <c r="S80" s="301" t="s">
        <v>1093</v>
      </c>
      <c r="T80" s="575" t="s">
        <v>1091</v>
      </c>
      <c r="U80" s="576" t="s">
        <v>1634</v>
      </c>
      <c r="V80" s="576" t="s">
        <v>1636</v>
      </c>
      <c r="W80" s="15" t="s">
        <v>1073</v>
      </c>
      <c r="X80" s="15" t="s">
        <v>1073</v>
      </c>
      <c r="Y80" s="15" t="s">
        <v>1073</v>
      </c>
      <c r="Z80" s="15" t="s">
        <v>1073</v>
      </c>
      <c r="AA80" s="15" t="s">
        <v>1073</v>
      </c>
      <c r="AB80" s="15" t="s">
        <v>1073</v>
      </c>
      <c r="AC80" s="15" t="s">
        <v>1073</v>
      </c>
      <c r="AD80" s="15" t="s">
        <v>1073</v>
      </c>
      <c r="AE80" s="15" t="s">
        <v>1073</v>
      </c>
    </row>
    <row r="81" spans="1:31" s="15" customFormat="1" ht="12.75">
      <c r="A81" s="61">
        <v>11</v>
      </c>
      <c r="B81" s="92" t="str">
        <f>VLOOKUP(Tendering!$B$12,$A$49:$Y$53,14)</f>
        <v>С двумя дискретными модулями  (доп. 24 дискретных входа)</v>
      </c>
      <c r="C81" s="98"/>
      <c r="D81" s="92" t="str">
        <f>HLOOKUP('Date Drivers'!$B$1,'Date Drivers'!$B$2:$AA$216,215)</f>
        <v>Не поставляется с двумя  дискретными модулями</v>
      </c>
      <c r="E81" s="121" t="s">
        <v>1073</v>
      </c>
      <c r="F81" s="121" t="s">
        <v>1073</v>
      </c>
      <c r="G81" s="121" t="s">
        <v>1073</v>
      </c>
      <c r="H81" s="121" t="s">
        <v>1073</v>
      </c>
      <c r="I81" s="121" t="s">
        <v>1073</v>
      </c>
      <c r="J81" s="121" t="s">
        <v>1073</v>
      </c>
      <c r="K81" s="121" t="s">
        <v>1073</v>
      </c>
      <c r="L81" s="121" t="s">
        <v>1073</v>
      </c>
      <c r="M81" s="121" t="s">
        <v>1073</v>
      </c>
      <c r="N81" s="121" t="s">
        <v>1073</v>
      </c>
      <c r="O81" s="121" t="s">
        <v>1073</v>
      </c>
      <c r="P81" s="121" t="s">
        <v>1073</v>
      </c>
      <c r="Q81" s="72"/>
      <c r="R81" s="301" t="s">
        <v>1650</v>
      </c>
      <c r="S81" s="301" t="s">
        <v>1094</v>
      </c>
      <c r="T81" s="575" t="s">
        <v>1093</v>
      </c>
      <c r="U81" s="576" t="s">
        <v>1635</v>
      </c>
      <c r="V81" s="576" t="s">
        <v>1636</v>
      </c>
      <c r="W81" s="15" t="s">
        <v>1073</v>
      </c>
      <c r="X81" s="15" t="s">
        <v>1073</v>
      </c>
      <c r="Y81" s="15" t="s">
        <v>1073</v>
      </c>
      <c r="Z81" s="15" t="s">
        <v>1073</v>
      </c>
      <c r="AA81" s="15" t="s">
        <v>1073</v>
      </c>
      <c r="AB81" s="15" t="s">
        <v>1073</v>
      </c>
      <c r="AC81" s="15" t="s">
        <v>1073</v>
      </c>
      <c r="AD81" s="15" t="s">
        <v>1073</v>
      </c>
      <c r="AE81" s="15" t="s">
        <v>1073</v>
      </c>
    </row>
    <row r="82" spans="1:31" ht="12.75">
      <c r="A82" s="61">
        <v>12</v>
      </c>
      <c r="B82" s="92" t="str">
        <f>VLOOKUP(Tendering!$B$12,$A$49:$Y$53,15)</f>
        <v> </v>
      </c>
      <c r="C82" s="98"/>
      <c r="D82" s="92" t="str">
        <f>HLOOKUP('Date Drivers'!$B$1,'Date Drivers'!$B$2:$AA$179,146)</f>
        <v>Нет</v>
      </c>
      <c r="E82" s="92" t="str">
        <f>HLOOKUP('Date Drivers'!$B$1,'Date Drivers'!$B$2:$AA$179,147)</f>
        <v>Для связи используется RS485 по витой паре</v>
      </c>
      <c r="F82" s="92" t="str">
        <f>HLOOKUP('Date Drivers'!$B$1,'Date Drivers'!$B$2:$AA$179,148)</f>
        <v>For connection to plastic fibre, FSMA connector</v>
      </c>
      <c r="G82" s="92" t="str">
        <f>HLOOKUP('Date Drivers'!$B$1,'Date Drivers'!$B$2:$AA$179,149)</f>
        <v>Для связи используется стекло-оптоволокно (ST connector)</v>
      </c>
      <c r="H82" s="92" t="str">
        <f>HLOOKUP('Date Drivers'!$B$1,'Date Drivers'!$B$2:$AA$179,150)</f>
        <v>Для связи используется RS232 по витой паре</v>
      </c>
      <c r="I82" s="92" t="str">
        <f>HLOOKUP('Date Drivers'!$B$1,'Date Drivers'!$B$2:$AA$179,152)</f>
        <v>-951</v>
      </c>
      <c r="J82" s="92" t="str">
        <f>HLOOKUP('Date Drivers'!$B$1,'Date Drivers'!$B$2:$AA$179,153)</f>
        <v>-952</v>
      </c>
      <c r="K82" s="92" t="str">
        <f>HLOOKUP('Date Drivers'!$B$1,'Date Drivers'!$B$2:$AA$179,154)</f>
        <v>-954</v>
      </c>
      <c r="L82" s="92" t="str">
        <f>HLOOKUP('Date Drivers'!$B$1,'Date Drivers'!$B$2:$AA$179,155)</f>
        <v>-955</v>
      </c>
      <c r="M82" s="98" t="str">
        <f>IF(H82=" ","","A")</f>
        <v>A</v>
      </c>
      <c r="N82" s="98" t="str">
        <f>IF(H82=" ","","B")</f>
        <v>B</v>
      </c>
      <c r="O82" s="98" t="str">
        <f>IF(G82=" ","","C")</f>
        <v>C</v>
      </c>
      <c r="P82" s="98" t="str">
        <f>IF(H82=" ","","D")</f>
        <v>D</v>
      </c>
      <c r="Q82" s="72"/>
      <c r="R82" s="301" t="s">
        <v>1651</v>
      </c>
      <c r="S82" s="301" t="s">
        <v>1096</v>
      </c>
      <c r="T82" s="575" t="s">
        <v>1094</v>
      </c>
      <c r="U82" s="576" t="s">
        <v>1642</v>
      </c>
      <c r="V82" s="576" t="s">
        <v>1085</v>
      </c>
      <c r="W82" t="s">
        <v>1210</v>
      </c>
      <c r="X82" t="s">
        <v>1212</v>
      </c>
      <c r="Y82" t="s">
        <v>873</v>
      </c>
      <c r="Z82" t="s">
        <v>875</v>
      </c>
      <c r="AA82" t="s">
        <v>877</v>
      </c>
      <c r="AB82" t="s">
        <v>878</v>
      </c>
      <c r="AC82" t="s">
        <v>1091</v>
      </c>
      <c r="AD82" t="s">
        <v>1094</v>
      </c>
      <c r="AE82" t="s">
        <v>1096</v>
      </c>
    </row>
    <row r="83" spans="1:31" ht="12.75">
      <c r="A83" s="61">
        <v>13</v>
      </c>
      <c r="B83" s="92" t="str">
        <f>VLOOKUP(Tendering!$B$12,$A$49:$Y$53,16)</f>
        <v> </v>
      </c>
      <c r="C83" s="98"/>
      <c r="D83" s="92" t="str">
        <f>HLOOKUP('Date Drivers'!$B$1,'Date Drivers'!$B$2:$AA$205,204)</f>
        <v>Не поставляется с двумя  дискретными модулями</v>
      </c>
      <c r="E83" s="121" t="s">
        <v>1073</v>
      </c>
      <c r="F83" s="121" t="s">
        <v>1073</v>
      </c>
      <c r="G83" s="121" t="s">
        <v>1073</v>
      </c>
      <c r="H83" s="121" t="s">
        <v>1073</v>
      </c>
      <c r="I83" s="121" t="s">
        <v>1073</v>
      </c>
      <c r="J83" s="121" t="s">
        <v>1073</v>
      </c>
      <c r="K83" s="121" t="s">
        <v>1073</v>
      </c>
      <c r="L83" s="121" t="s">
        <v>1073</v>
      </c>
      <c r="M83" s="121" t="s">
        <v>1073</v>
      </c>
      <c r="N83" s="121" t="s">
        <v>1073</v>
      </c>
      <c r="O83" s="121" t="s">
        <v>1073</v>
      </c>
      <c r="P83" s="121" t="s">
        <v>1073</v>
      </c>
      <c r="Q83" s="72"/>
      <c r="R83" s="303" t="s">
        <v>1652</v>
      </c>
      <c r="S83" s="303" t="s">
        <v>1240</v>
      </c>
      <c r="T83" s="575" t="s">
        <v>1096</v>
      </c>
      <c r="U83" s="576" t="s">
        <v>1643</v>
      </c>
      <c r="V83" s="576" t="s">
        <v>1636</v>
      </c>
      <c r="W83" t="s">
        <v>1073</v>
      </c>
      <c r="X83" t="s">
        <v>1073</v>
      </c>
      <c r="Y83" t="s">
        <v>1073</v>
      </c>
      <c r="Z83" t="s">
        <v>1073</v>
      </c>
      <c r="AA83" t="s">
        <v>1073</v>
      </c>
      <c r="AB83" t="s">
        <v>1073</v>
      </c>
      <c r="AC83" t="s">
        <v>1073</v>
      </c>
      <c r="AD83" t="s">
        <v>1073</v>
      </c>
      <c r="AE83" t="s">
        <v>1073</v>
      </c>
    </row>
    <row r="84" spans="1:31" s="15" customFormat="1" ht="12.75">
      <c r="A84" s="61">
        <v>14</v>
      </c>
      <c r="B84" s="92" t="str">
        <f>VLOOKUP(Tendering!$B$12,$A$49:$Y$53,17)</f>
        <v> </v>
      </c>
      <c r="C84" s="98"/>
      <c r="D84" s="92" t="str">
        <f>HLOOKUP('Date Drivers'!$B$1,'Date Drivers'!$B$2:$AA$205,204)</f>
        <v>Не поставляется с двумя  дискретными модулями</v>
      </c>
      <c r="E84" s="121" t="s">
        <v>1073</v>
      </c>
      <c r="F84" s="121" t="s">
        <v>1073</v>
      </c>
      <c r="G84" s="121" t="s">
        <v>1073</v>
      </c>
      <c r="H84" s="121" t="s">
        <v>1073</v>
      </c>
      <c r="I84" s="121" t="s">
        <v>1073</v>
      </c>
      <c r="J84" s="121" t="s">
        <v>1073</v>
      </c>
      <c r="K84" s="121" t="s">
        <v>1073</v>
      </c>
      <c r="L84" s="121" t="s">
        <v>1073</v>
      </c>
      <c r="M84" s="121" t="s">
        <v>1073</v>
      </c>
      <c r="N84" s="121" t="s">
        <v>1073</v>
      </c>
      <c r="O84" s="121" t="s">
        <v>1073</v>
      </c>
      <c r="P84" s="121" t="s">
        <v>1073</v>
      </c>
      <c r="Q84" s="72"/>
      <c r="R84" s="301" t="s">
        <v>1653</v>
      </c>
      <c r="S84" s="301" t="s">
        <v>16</v>
      </c>
      <c r="T84" s="575" t="s">
        <v>1240</v>
      </c>
      <c r="U84" s="576" t="s">
        <v>1644</v>
      </c>
      <c r="V84" s="576" t="s">
        <v>1636</v>
      </c>
      <c r="W84" s="15" t="s">
        <v>1073</v>
      </c>
      <c r="X84" s="15" t="s">
        <v>1073</v>
      </c>
      <c r="Y84" s="15" t="s">
        <v>1073</v>
      </c>
      <c r="Z84" s="15" t="s">
        <v>1073</v>
      </c>
      <c r="AA84" s="15" t="s">
        <v>1073</v>
      </c>
      <c r="AB84" s="15" t="s">
        <v>1073</v>
      </c>
      <c r="AC84" s="15" t="s">
        <v>1073</v>
      </c>
      <c r="AD84" s="15" t="s">
        <v>1073</v>
      </c>
      <c r="AE84" s="15" t="s">
        <v>1073</v>
      </c>
    </row>
    <row r="85" spans="1:31" ht="12.75">
      <c r="A85" s="61">
        <v>15</v>
      </c>
      <c r="B85" s="92" t="str">
        <f>VLOOKUP(Tendering!$B$12,$A$49:$Y$53,18)</f>
        <v> </v>
      </c>
      <c r="C85" s="98"/>
      <c r="D85" s="92" t="str">
        <f>HLOOKUP('Date Drivers'!$B$1,'Date Drivers'!$B$2:$AA$205,204)</f>
        <v>Не поставляется с двумя  дискретными модулями</v>
      </c>
      <c r="E85" s="121" t="s">
        <v>1073</v>
      </c>
      <c r="F85" s="121" t="s">
        <v>1073</v>
      </c>
      <c r="G85" s="121" t="s">
        <v>1073</v>
      </c>
      <c r="H85" s="121" t="s">
        <v>1073</v>
      </c>
      <c r="I85" s="121" t="s">
        <v>1073</v>
      </c>
      <c r="J85" s="121" t="s">
        <v>1073</v>
      </c>
      <c r="K85" s="121" t="s">
        <v>1073</v>
      </c>
      <c r="L85" s="121" t="s">
        <v>1073</v>
      </c>
      <c r="M85" s="121" t="s">
        <v>1073</v>
      </c>
      <c r="N85" s="121" t="s">
        <v>1073</v>
      </c>
      <c r="O85" s="121" t="s">
        <v>1073</v>
      </c>
      <c r="P85" s="121" t="s">
        <v>1073</v>
      </c>
      <c r="Q85" s="72"/>
      <c r="R85" s="301" t="s">
        <v>1654</v>
      </c>
      <c r="S85" s="301" t="s">
        <v>17</v>
      </c>
      <c r="T85" s="575" t="s">
        <v>16</v>
      </c>
      <c r="U85" s="576" t="s">
        <v>1645</v>
      </c>
      <c r="V85" s="576" t="s">
        <v>1636</v>
      </c>
      <c r="W85" t="s">
        <v>1073</v>
      </c>
      <c r="X85" t="s">
        <v>1073</v>
      </c>
      <c r="Y85" t="s">
        <v>1073</v>
      </c>
      <c r="Z85" t="s">
        <v>1073</v>
      </c>
      <c r="AA85" t="s">
        <v>1073</v>
      </c>
      <c r="AB85" t="s">
        <v>1073</v>
      </c>
      <c r="AC85" t="s">
        <v>1073</v>
      </c>
      <c r="AD85" t="s">
        <v>1073</v>
      </c>
      <c r="AE85" t="s">
        <v>1073</v>
      </c>
    </row>
    <row r="86" spans="1:31" ht="12.75">
      <c r="A86" s="63">
        <v>16</v>
      </c>
      <c r="B86" s="93" t="str">
        <f>VLOOKUP(Tendering!$B$12,$A$49:$Y$53,19)</f>
        <v> </v>
      </c>
      <c r="C86" s="99"/>
      <c r="D86" s="93" t="str">
        <f>HLOOKUP('Date Drivers'!$B$1,'Date Drivers'!$B$2:$AA$216,215)</f>
        <v>Не поставляется с двумя  дискретными модулями</v>
      </c>
      <c r="E86" s="100" t="s">
        <v>1073</v>
      </c>
      <c r="F86" s="100" t="s">
        <v>1073</v>
      </c>
      <c r="G86" s="100" t="s">
        <v>1073</v>
      </c>
      <c r="H86" s="100" t="s">
        <v>1073</v>
      </c>
      <c r="I86" s="100" t="s">
        <v>1073</v>
      </c>
      <c r="J86" s="100" t="s">
        <v>1073</v>
      </c>
      <c r="K86" s="100" t="s">
        <v>1073</v>
      </c>
      <c r="L86" s="100" t="s">
        <v>1073</v>
      </c>
      <c r="M86" s="100" t="s">
        <v>1073</v>
      </c>
      <c r="N86" s="100" t="s">
        <v>1073</v>
      </c>
      <c r="O86" s="100" t="s">
        <v>1073</v>
      </c>
      <c r="P86" s="100" t="s">
        <v>1073</v>
      </c>
      <c r="Q86" s="72"/>
      <c r="R86" s="85" t="s">
        <v>1073</v>
      </c>
      <c r="S86" t="s">
        <v>1215</v>
      </c>
      <c r="T86" s="575" t="s">
        <v>17</v>
      </c>
      <c r="U86" s="576" t="s">
        <v>1646</v>
      </c>
      <c r="V86" s="576" t="s">
        <v>1636</v>
      </c>
      <c r="W86" t="s">
        <v>1073</v>
      </c>
      <c r="X86" t="s">
        <v>1073</v>
      </c>
      <c r="Y86" t="s">
        <v>1073</v>
      </c>
      <c r="Z86" t="s">
        <v>1073</v>
      </c>
      <c r="AA86" t="s">
        <v>1073</v>
      </c>
      <c r="AB86" t="s">
        <v>1073</v>
      </c>
      <c r="AC86" t="s">
        <v>1073</v>
      </c>
      <c r="AD86" t="s">
        <v>1073</v>
      </c>
      <c r="AE86" t="s">
        <v>1073</v>
      </c>
    </row>
    <row r="87" spans="1:20" ht="12.75">
      <c r="A87" s="9"/>
      <c r="B87" s="15"/>
      <c r="C87" s="9"/>
      <c r="F87" s="15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440"/>
      <c r="S87" s="301"/>
      <c r="T87" s="72"/>
    </row>
    <row r="88" spans="1:19" ht="12.75">
      <c r="A88" s="33"/>
      <c r="C88" s="18"/>
      <c r="D88" s="13"/>
      <c r="E88" s="15"/>
      <c r="F88" s="15"/>
      <c r="G88" s="15"/>
      <c r="H88" s="9"/>
      <c r="R88" s="301"/>
      <c r="S88" s="301"/>
    </row>
    <row r="89" spans="1:19" ht="12.75">
      <c r="A89" s="22">
        <v>1</v>
      </c>
      <c r="B89" s="30" t="str">
        <f>HLOOKUP('Date Drivers'!$B$1,'Date Drivers'!$B$2:$Z$57,55)</f>
        <v>Нет</v>
      </c>
      <c r="C89" s="23" t="s">
        <v>1073</v>
      </c>
      <c r="D89" s="16" t="s">
        <v>1073</v>
      </c>
      <c r="E89" s="15"/>
      <c r="F89" s="14"/>
      <c r="G89" s="14"/>
      <c r="H89" s="43" t="s">
        <v>1073</v>
      </c>
      <c r="R89" s="301"/>
      <c r="S89" s="301"/>
    </row>
    <row r="90" spans="1:19" ht="12.75">
      <c r="A90" s="22">
        <v>2</v>
      </c>
      <c r="B90" s="30" t="str">
        <f>HLOOKUP('Date Drivers'!$B$1,'Date Drivers'!$B$2:$Z$57,56)</f>
        <v>Протокол для переключения между: IEC 60870-5-101/-103, Modbus, DNP3, Courier и плата IRIG-B для синхронизации по времени и 2ой задний порт связи связи (RS485, IEC 60870-5-103)</v>
      </c>
      <c r="C90" s="23">
        <v>6</v>
      </c>
      <c r="D90" s="97">
        <v>0</v>
      </c>
      <c r="E90" s="15"/>
      <c r="F90" s="15"/>
      <c r="G90" s="15"/>
      <c r="H90" s="2"/>
      <c r="R90" s="301"/>
      <c r="S90" s="301"/>
    </row>
    <row r="91" spans="1:19" ht="12.75">
      <c r="A91" s="10">
        <v>3</v>
      </c>
      <c r="B91" s="31" t="str">
        <f>HLOOKUP('Date Drivers'!$B$1,'Date Drivers'!$B$2:$Z$58,57)</f>
        <v>Потокол IEC61850, одноканальное соединение</v>
      </c>
      <c r="C91" s="10">
        <v>6</v>
      </c>
      <c r="D91" s="83">
        <v>2</v>
      </c>
      <c r="E91" s="15"/>
      <c r="F91" s="14"/>
      <c r="G91" s="14"/>
      <c r="H91" s="2"/>
      <c r="R91" s="301"/>
      <c r="S91" s="301"/>
    </row>
    <row r="92" spans="1:18" ht="12.75">
      <c r="A92" s="10">
        <v>4</v>
      </c>
      <c r="B92" s="31" t="str">
        <f>HLOOKUP('Date Drivers'!$B$1,'Date Drivers'!$B$2:$Z$258,216)</f>
        <v>Протокол IEC61850, избыточное соединение</v>
      </c>
      <c r="C92" s="10">
        <v>6</v>
      </c>
      <c r="D92" s="83">
        <v>2</v>
      </c>
      <c r="E92" s="15"/>
      <c r="F92" s="14"/>
      <c r="G92" s="14"/>
      <c r="H92" s="2"/>
      <c r="R92" s="85"/>
    </row>
    <row r="93" spans="1:19" ht="12.75">
      <c r="A93" s="22"/>
      <c r="B93" s="15"/>
      <c r="C93" s="9"/>
      <c r="D93" s="15"/>
      <c r="E93" s="15"/>
      <c r="F93" s="15"/>
      <c r="G93" s="15"/>
      <c r="H93" s="87"/>
      <c r="I93" s="15"/>
      <c r="J93" s="15"/>
      <c r="S93" s="302"/>
    </row>
    <row r="94" spans="1:19" ht="12.75">
      <c r="A94" s="33"/>
      <c r="C94" s="18"/>
      <c r="D94" s="13"/>
      <c r="E94" s="46" t="str">
        <f>CONCATENATE(Tendering!$B$19,Tendering!$B$20)</f>
        <v>21</v>
      </c>
      <c r="F94" s="101" t="s">
        <v>71</v>
      </c>
      <c r="G94" s="102" t="str">
        <f>HLOOKUP('Date Drivers'!$B$1,'Date Drivers'!$B$2:$AA$172,156)</f>
        <v> </v>
      </c>
      <c r="H94" s="102">
        <f>HLOOKUP('Date Drivers'!$B$1,'Date Drivers'!$B$2:$AA$182,164)</f>
        <v>0</v>
      </c>
      <c r="I94" s="200" t="s">
        <v>1073</v>
      </c>
      <c r="S94" s="302"/>
    </row>
    <row r="95" spans="1:19" ht="12.75">
      <c r="A95" s="22">
        <v>1</v>
      </c>
      <c r="B95" s="19" t="str">
        <f>VLOOKUP(Tendering!$B$19,'Date Drivers'!$A$180:$F$183,2)</f>
        <v> порт RS485 (изолированный)</v>
      </c>
      <c r="C95" s="9"/>
      <c r="D95" s="15"/>
      <c r="E95" s="104"/>
      <c r="F95" s="103" t="s">
        <v>72</v>
      </c>
      <c r="G95" s="98" t="str">
        <f>HLOOKUP('Date Drivers'!$B$1,'Date Drivers'!$B$2:$AA$172,157)</f>
        <v> </v>
      </c>
      <c r="H95" s="98">
        <f>HLOOKUP('Date Drivers'!$B$1,'Date Drivers'!$B$2:$AA$182,165)</f>
        <v>0</v>
      </c>
      <c r="I95" s="201" t="s">
        <v>1073</v>
      </c>
      <c r="S95" s="302"/>
    </row>
    <row r="96" spans="1:19" ht="12.75">
      <c r="A96" s="22">
        <v>2</v>
      </c>
      <c r="B96" s="19" t="str">
        <f>VLOOKUP(Tendering!$B$19,'Date Drivers'!$A$180:$F$183,3)</f>
        <v>Оптоволокно (пластик), FSMA-connector</v>
      </c>
      <c r="C96" s="9"/>
      <c r="D96" s="15"/>
      <c r="E96" s="105"/>
      <c r="F96" s="103" t="s">
        <v>1236</v>
      </c>
      <c r="G96" s="98" t="str">
        <f>HLOOKUP('Date Drivers'!$B$1,'Date Drivers'!$B$2:$AA$172,158)</f>
        <v> </v>
      </c>
      <c r="H96" s="98">
        <f>HLOOKUP('Date Drivers'!$B$1,'Date Drivers'!$B$2:$AA$182,166)</f>
        <v>0</v>
      </c>
      <c r="I96" s="201" t="s">
        <v>1073</v>
      </c>
      <c r="S96" s="302"/>
    </row>
    <row r="97" spans="1:19" ht="12.75">
      <c r="A97" s="35">
        <v>3</v>
      </c>
      <c r="B97" s="20" t="str">
        <f>VLOOKUP(Tendering!$B$19,'Date Drivers'!$A$180:$F$183,4)</f>
        <v>Оптоволокно(стекло), ST connector</v>
      </c>
      <c r="C97" s="10"/>
      <c r="D97" s="17"/>
      <c r="E97" s="10"/>
      <c r="F97" s="103" t="s">
        <v>1237</v>
      </c>
      <c r="G97" s="98" t="str">
        <f>HLOOKUP('Date Drivers'!$B$1,'Date Drivers'!$B$2:$AA$172,159)</f>
        <v>-921</v>
      </c>
      <c r="H97" s="98" t="str">
        <f>HLOOKUP('Date Drivers'!$B$1,'Date Drivers'!$B$2:$AA$182,167)</f>
        <v>E</v>
      </c>
      <c r="I97" s="202">
        <v>1</v>
      </c>
      <c r="O97" s="71"/>
      <c r="S97" s="302"/>
    </row>
    <row r="98" spans="1:18" ht="12.75">
      <c r="A98" s="35">
        <v>4</v>
      </c>
      <c r="B98" s="20">
        <f>VLOOKUP(Tendering!$B$19,'Date Drivers'!$A$180:$F$183,5)</f>
        <v>0</v>
      </c>
      <c r="C98" s="10"/>
      <c r="D98" s="17"/>
      <c r="E98" s="10"/>
      <c r="F98" s="86" t="s">
        <v>73</v>
      </c>
      <c r="G98" s="98" t="str">
        <f>HLOOKUP('Date Drivers'!$B$1,'Date Drivers'!$B$2:$AA$172,160)</f>
        <v>-922</v>
      </c>
      <c r="H98" s="98" t="str">
        <f>HLOOKUP('Date Drivers'!$B$1,'Date Drivers'!$B$2:$AA$172,168)</f>
        <v>F</v>
      </c>
      <c r="I98" s="202">
        <v>2</v>
      </c>
      <c r="O98" s="71"/>
      <c r="R98" s="3"/>
    </row>
    <row r="99" spans="2:9" ht="12.75">
      <c r="B99" s="1"/>
      <c r="F99" s="86" t="s">
        <v>74</v>
      </c>
      <c r="G99" s="98" t="str">
        <f>HLOOKUP('Date Drivers'!$B$1,'Date Drivers'!$B$2:$AA$172,161)</f>
        <v>-924</v>
      </c>
      <c r="H99" s="98" t="str">
        <f>HLOOKUP('Date Drivers'!$B$1,'Date Drivers'!$B$2:$AA$172,169)</f>
        <v>G</v>
      </c>
      <c r="I99" s="202">
        <v>4</v>
      </c>
    </row>
    <row r="100" spans="1:18" ht="12.75">
      <c r="A100" s="41"/>
      <c r="C100" s="41"/>
      <c r="D100" s="91"/>
      <c r="F100" s="86" t="s">
        <v>13</v>
      </c>
      <c r="G100" s="98" t="str">
        <f>HLOOKUP('Date Drivers'!$B$1,'Date Drivers'!$B$2:$AA$172,162)</f>
        <v>-946</v>
      </c>
      <c r="H100" s="98" t="str">
        <f>HLOOKUP('Date Drivers'!$B$1,'Date Drivers'!$B$2:$AA$172,170)</f>
        <v>J</v>
      </c>
      <c r="I100" s="202">
        <v>2</v>
      </c>
      <c r="R100" s="3"/>
    </row>
    <row r="101" spans="1:9" ht="12.75">
      <c r="A101" s="61">
        <v>1</v>
      </c>
      <c r="B101" s="92" t="str">
        <f>HLOOKUP('Date Drivers'!$B$1,'Date Drivers'!$B$2:$Z$172,130)</f>
        <v>Два модуля без сильноточных контактов</v>
      </c>
      <c r="C101" s="98">
        <f>HLOOKUP('Date Drivers'!$B$1,'Date Drivers'!$B$2:$Z$172,133)</f>
        <v>0</v>
      </c>
      <c r="D101" s="98">
        <f>IF(C101=0,"","")</f>
      </c>
      <c r="F101" s="103" t="s">
        <v>6</v>
      </c>
      <c r="G101" s="98" t="str">
        <f>HLOOKUP('Date Drivers'!$B$1,'Date Drivers'!$B$2:$AA$172,163)</f>
        <v>-947</v>
      </c>
      <c r="H101" s="98" t="str">
        <f>HLOOKUP('Date Drivers'!$B$1,'Date Drivers'!$B$2:$AA$172,171)</f>
        <v>K</v>
      </c>
      <c r="I101" s="202">
        <v>4</v>
      </c>
    </row>
    <row r="102" spans="1:9" ht="12.75">
      <c r="A102" s="61">
        <v>2</v>
      </c>
      <c r="B102" s="92" t="str">
        <f>HLOOKUP('Date Drivers'!$B$1,'Date Drivers'!$B$2:$Z$172,131)</f>
        <v>Первый модуль с сильноточными контактами, второй с нормальными контактами</v>
      </c>
      <c r="C102" s="98" t="str">
        <f>HLOOKUP('Date Drivers'!$B$1,'Date Drivers'!$B$2:$Z$172,134)</f>
        <v>1</v>
      </c>
      <c r="D102" s="98" t="str">
        <f>IF(C102=0,"",IF(C102="1","-471","-472"))</f>
        <v>-471</v>
      </c>
      <c r="F102" s="86" t="s">
        <v>75</v>
      </c>
      <c r="G102" s="98" t="str">
        <f>HLOOKUP('Date Drivers'!$B$1,'Date Drivers'!$B$2:$AA$272,221)</f>
        <v>-981</v>
      </c>
      <c r="H102" s="98" t="str">
        <f>HLOOKUP('Date Drivers'!$B$1,'Date Drivers'!$B$2:$AA$272,224)</f>
        <v>M</v>
      </c>
      <c r="I102" s="202">
        <v>2</v>
      </c>
    </row>
    <row r="103" spans="1:13" ht="12.75">
      <c r="A103" s="63">
        <v>3</v>
      </c>
      <c r="B103" s="93" t="str">
        <f>HLOOKUP('Date Drivers'!$B$1,'Date Drivers'!$B$2:$Z$172,132)</f>
        <v>Два модуля с сильноточными контактами
</v>
      </c>
      <c r="C103" s="99" t="str">
        <f>HLOOKUP('Date Drivers'!$B$1,'Date Drivers'!$B$2:$Z$172,135)</f>
        <v>2</v>
      </c>
      <c r="D103" s="99" t="str">
        <f>IF(C103=0,"",IF(C103="1","-471","-472"))</f>
        <v>-472</v>
      </c>
      <c r="F103" s="86" t="s">
        <v>76</v>
      </c>
      <c r="G103" s="98" t="str">
        <f>HLOOKUP('Date Drivers'!$B$1,'Date Drivers'!$B$2:$AA$272,222)</f>
        <v>-982</v>
      </c>
      <c r="H103" s="98" t="str">
        <f>HLOOKUP('Date Drivers'!$B$1,'Date Drivers'!$B$2:$AA$272,225)</f>
        <v>N</v>
      </c>
      <c r="I103" s="202">
        <v>2</v>
      </c>
      <c r="M103" s="21"/>
    </row>
    <row r="104" spans="6:20" ht="12.75">
      <c r="F104" s="579" t="s">
        <v>77</v>
      </c>
      <c r="G104" s="98" t="str">
        <f>HLOOKUP('Date Drivers'!$B$1,'Date Drivers'!$B$2:$AA$272,223)</f>
        <v>-983</v>
      </c>
      <c r="H104" s="98" t="str">
        <f>HLOOKUP('Date Drivers'!$B$1,'Date Drivers'!$B$2:$AA$272,226)</f>
        <v>P</v>
      </c>
      <c r="I104" s="202">
        <v>2</v>
      </c>
      <c r="M104" s="21"/>
      <c r="N104" s="15"/>
      <c r="O104" s="15"/>
      <c r="P104" s="15"/>
      <c r="Q104" s="15"/>
      <c r="R104" s="15"/>
      <c r="S104" s="15"/>
      <c r="T104" s="15"/>
    </row>
    <row r="105" spans="1:20" ht="12.75">
      <c r="A105" s="41"/>
      <c r="C105" s="41"/>
      <c r="D105" s="41"/>
      <c r="F105" s="580" t="s">
        <v>175</v>
      </c>
      <c r="G105" s="99" t="str">
        <f>HLOOKUP('Date Drivers'!$B$1,'Date Drivers'!$B$2:$AA$272,232)</f>
        <v>-983</v>
      </c>
      <c r="H105" s="99" t="str">
        <f>HLOOKUP('Date Drivers'!$B$1,'Date Drivers'!$B$2:$AA$272,233)</f>
        <v>P</v>
      </c>
      <c r="I105" s="203">
        <v>2</v>
      </c>
      <c r="M105" s="9"/>
      <c r="N105" s="15"/>
      <c r="O105" s="15"/>
      <c r="P105" s="15"/>
      <c r="Q105" s="15"/>
      <c r="R105" s="15"/>
      <c r="S105" s="15"/>
      <c r="T105" s="15"/>
    </row>
    <row r="106" spans="1:20" ht="12.75">
      <c r="A106" s="61">
        <v>1</v>
      </c>
      <c r="B106" s="92" t="str">
        <f>HLOOKUP('Date Drivers'!$B$1,'Date Drivers'!$B$2:$Z$172,136)</f>
        <v>&gt;18 V (базовая конфигурация)</v>
      </c>
      <c r="C106" s="98" t="str">
        <f>IF(B106=" "," ","0")</f>
        <v>0</v>
      </c>
      <c r="D106" s="98" t="str">
        <f>HLOOKUP('Date Drivers'!$B$1,'Date Drivers'!$B$2:$Z$172,141)</f>
        <v> </v>
      </c>
      <c r="M106" s="9"/>
      <c r="N106" s="15"/>
      <c r="O106" s="15"/>
      <c r="P106" s="15"/>
      <c r="Q106" s="15"/>
      <c r="R106" s="15"/>
      <c r="S106" s="15"/>
      <c r="T106" s="15"/>
    </row>
    <row r="107" spans="1:20" ht="12.75">
      <c r="A107" s="61">
        <v>2</v>
      </c>
      <c r="B107" s="92" t="str">
        <f>HLOOKUP('Date Drivers'!$B$1,'Date Drivers'!$B$2:$Z$172,137)</f>
        <v>&gt;90V (60 to 70% of Vnom = 125 to 150V)</v>
      </c>
      <c r="C107" s="98" t="str">
        <f>RIGHT(D107,1)</f>
        <v>1</v>
      </c>
      <c r="D107" s="98" t="str">
        <f>HLOOKUP('Date Drivers'!$B$1,'Date Drivers'!$B$2:$Z$172,142)</f>
        <v>-461</v>
      </c>
      <c r="G107" s="9"/>
      <c r="H107"/>
      <c r="M107" s="9"/>
      <c r="N107" s="15"/>
      <c r="O107" s="15"/>
      <c r="P107" s="15"/>
      <c r="Q107" s="15"/>
      <c r="R107" s="15"/>
      <c r="S107" s="15"/>
      <c r="T107" s="15"/>
    </row>
    <row r="108" spans="1:20" ht="12.75">
      <c r="A108" s="61">
        <v>3</v>
      </c>
      <c r="B108" s="92" t="str">
        <f>HLOOKUP('Date Drivers'!$B$1,'Date Drivers'!$B$2:$Z$172,138)</f>
        <v>&gt;155V (60 to 70% of Vnom = 220 to 250V)</v>
      </c>
      <c r="C108" s="98" t="str">
        <f>RIGHT(D108,1)</f>
        <v>2</v>
      </c>
      <c r="D108" s="98" t="str">
        <f>HLOOKUP('Date Drivers'!$B$1,'Date Drivers'!$B$2:$Z$172,143)</f>
        <v>-462</v>
      </c>
      <c r="G108" s="9"/>
      <c r="H108"/>
      <c r="M108" s="9"/>
      <c r="N108" s="15"/>
      <c r="O108" s="15"/>
      <c r="P108" s="15"/>
      <c r="Q108" s="15"/>
      <c r="R108" s="15"/>
      <c r="S108" s="15"/>
      <c r="T108" s="15"/>
    </row>
    <row r="109" spans="1:20" ht="12.75">
      <c r="A109" s="61">
        <v>4</v>
      </c>
      <c r="B109" s="92" t="str">
        <f>HLOOKUP('Date Drivers'!$B$1,'Date Drivers'!$B$2:$Z$172,139)</f>
        <v>&gt;73 V (67% of VA,nom = 110 V)</v>
      </c>
      <c r="C109" s="98" t="str">
        <f>RIGHT(D109,1)</f>
        <v>3</v>
      </c>
      <c r="D109" s="98" t="str">
        <f>HLOOKUP('Date Drivers'!$B$1,'Date Drivers'!$B$2:$Z$172,144)</f>
        <v>-463</v>
      </c>
      <c r="G109" s="9"/>
      <c r="H109"/>
      <c r="M109" s="9"/>
      <c r="N109" s="15"/>
      <c r="O109" s="15"/>
      <c r="P109" s="15"/>
      <c r="Q109" s="15"/>
      <c r="R109" s="15"/>
      <c r="S109" s="15"/>
      <c r="T109" s="15"/>
    </row>
    <row r="110" spans="1:20" ht="12.75">
      <c r="A110" s="61">
        <v>5</v>
      </c>
      <c r="B110" s="93" t="str">
        <f>HLOOKUP('Date Drivers'!$B$1,'Date Drivers'!$B$2:$Z$172,140)</f>
        <v>&gt; 146 V (67% of VA,nom = 220 V)</v>
      </c>
      <c r="C110" s="99" t="str">
        <f>RIGHT(D110,1)</f>
        <v>4</v>
      </c>
      <c r="D110" s="99" t="str">
        <f>HLOOKUP('Date Drivers'!$B$1,'Date Drivers'!$B$2:$Z$172,145)</f>
        <v>-464</v>
      </c>
      <c r="G110" s="9"/>
      <c r="H110"/>
      <c r="M110" s="9"/>
      <c r="N110" s="15"/>
      <c r="O110" s="15"/>
      <c r="P110" s="15"/>
      <c r="Q110" s="15"/>
      <c r="R110" s="15"/>
      <c r="S110" s="15"/>
      <c r="T110" s="15"/>
    </row>
    <row r="111" spans="1:21" ht="12.75">
      <c r="A111"/>
      <c r="G111" s="15"/>
      <c r="N111" s="9"/>
      <c r="O111" s="15"/>
      <c r="P111" s="15"/>
      <c r="Q111" s="15"/>
      <c r="R111" s="15"/>
      <c r="S111" s="15"/>
      <c r="T111" s="15"/>
      <c r="U111" s="15"/>
    </row>
    <row r="112" spans="1:21" ht="12.75">
      <c r="A112" s="91"/>
      <c r="C112" s="41"/>
      <c r="D112" s="91"/>
      <c r="E112" s="91"/>
      <c r="F112" s="122" t="str">
        <f>CONCATENATE(Tendering!$B$15,Tendering!$B$21)</f>
        <v>51</v>
      </c>
      <c r="G112" s="381" t="s">
        <v>580</v>
      </c>
      <c r="H112" s="102" t="str">
        <f>HLOOKUP('Date Drivers'!$B$1,'Date Drivers'!$B$2:$Z$179,174)</f>
        <v>0</v>
      </c>
      <c r="I112" s="23"/>
      <c r="J112" s="23"/>
      <c r="K112" s="23"/>
      <c r="L112" s="9"/>
      <c r="M112" s="9"/>
      <c r="N112" s="9"/>
      <c r="O112" s="15"/>
      <c r="P112" s="15"/>
      <c r="Q112" s="15"/>
      <c r="R112" s="15"/>
      <c r="S112" s="15"/>
      <c r="T112" s="15"/>
      <c r="U112" s="15"/>
    </row>
    <row r="113" spans="1:21" ht="12.75">
      <c r="A113" s="61">
        <v>1</v>
      </c>
      <c r="B113" s="92" t="str">
        <f>VLOOKUP(Tendering!$B$15,$A$71:$P$86,4)</f>
        <v>Нет</v>
      </c>
      <c r="C113" s="98">
        <f>IF(B113=" "," ","")</f>
      </c>
      <c r="D113" s="98" t="str">
        <f>VLOOKUP($F$112,$G$112:$H$159,2)</f>
        <v>0</v>
      </c>
      <c r="E113" s="59"/>
      <c r="G113" s="380" t="s">
        <v>581</v>
      </c>
      <c r="H113" s="98" t="str">
        <f>HLOOKUP('Date Drivers'!$B$1,'Date Drivers'!$B$2:$Z$179,175)</f>
        <v>A</v>
      </c>
      <c r="I113" s="23"/>
      <c r="J113" s="23"/>
      <c r="K113" s="23"/>
      <c r="L113" s="9"/>
      <c r="M113" s="9"/>
      <c r="N113" s="9"/>
      <c r="O113" s="15"/>
      <c r="P113" s="15"/>
      <c r="Q113" s="15"/>
      <c r="R113" s="15"/>
      <c r="S113" s="15"/>
      <c r="T113" s="15"/>
      <c r="U113" s="15"/>
    </row>
    <row r="114" spans="1:21" ht="12.75">
      <c r="A114" s="61">
        <v>2</v>
      </c>
      <c r="B114" s="92" t="str">
        <f>VLOOKUP(Tendering!$B$15,$A$71:$P$86,5)</f>
        <v>Для связи используется RS485 по витой паре</v>
      </c>
      <c r="C114" s="92" t="str">
        <f>VLOOKUP(Tendering!$B$15,$A$71:$P$86,9)</f>
        <v>-951</v>
      </c>
      <c r="D114" s="98" t="str">
        <f>VLOOKUP($F$112,$G$112:$H$159,2)</f>
        <v>0</v>
      </c>
      <c r="E114" s="59"/>
      <c r="G114" s="380" t="s">
        <v>582</v>
      </c>
      <c r="H114" s="98" t="str">
        <f>HLOOKUP('Date Drivers'!$B$1,'Date Drivers'!$B$2:$Z$179,177)</f>
        <v>C</v>
      </c>
      <c r="I114" s="23"/>
      <c r="J114" s="23"/>
      <c r="K114" s="23"/>
      <c r="L114" s="9"/>
      <c r="M114" s="9"/>
      <c r="N114" s="9"/>
      <c r="O114" s="15"/>
      <c r="P114" s="15"/>
      <c r="Q114" s="15"/>
      <c r="R114" s="15"/>
      <c r="S114" s="15"/>
      <c r="T114" s="15"/>
      <c r="U114" s="15"/>
    </row>
    <row r="115" spans="1:21" ht="12.75">
      <c r="A115" s="61">
        <v>3</v>
      </c>
      <c r="B115" s="92" t="str">
        <f>VLOOKUP(Tendering!$B$15,$A$71:$P$86,7)</f>
        <v>Для связи используется стекло-оптоволокно (ST connector)</v>
      </c>
      <c r="C115" s="92" t="str">
        <f>VLOOKUP(Tendering!$B$15,$A$71:$P$86,11)</f>
        <v>-954</v>
      </c>
      <c r="D115" s="98" t="str">
        <f>VLOOKUP($F$112,$G$112:$H$159,2)</f>
        <v>0</v>
      </c>
      <c r="E115" s="59"/>
      <c r="G115" s="380" t="s">
        <v>583</v>
      </c>
      <c r="H115" s="98" t="str">
        <f>HLOOKUP('Date Drivers'!$B$1,'Date Drivers'!$B$2:$Z$179,178)</f>
        <v>D</v>
      </c>
      <c r="O115" s="15"/>
      <c r="P115" s="15"/>
      <c r="Q115" s="15"/>
      <c r="R115" s="15"/>
      <c r="S115" s="15"/>
      <c r="T115" s="15"/>
      <c r="U115" s="15"/>
    </row>
    <row r="116" spans="1:21" ht="12.75">
      <c r="A116" s="63">
        <v>4</v>
      </c>
      <c r="B116" s="93" t="str">
        <f>VLOOKUP(Tendering!$B$15,$A$71:$P$86,8)</f>
        <v>Для связи используется RS232 по витой паре</v>
      </c>
      <c r="C116" s="93" t="str">
        <f>VLOOKUP(Tendering!$B$15,$A$71:$P$86,12)</f>
        <v>-955</v>
      </c>
      <c r="D116" s="99" t="str">
        <f>VLOOKUP($F$112,$G$112:$H$159,2)</f>
        <v>0</v>
      </c>
      <c r="E116" s="60"/>
      <c r="G116" s="123" t="s">
        <v>71</v>
      </c>
      <c r="H116" s="102" t="str">
        <f>HLOOKUP('Date Drivers'!$B$1,'Date Drivers'!$B$2:$Z$179,174)</f>
        <v>0</v>
      </c>
      <c r="O116" s="15"/>
      <c r="P116" s="15"/>
      <c r="Q116" s="15"/>
      <c r="R116" s="15"/>
      <c r="S116" s="15"/>
      <c r="T116" s="15"/>
      <c r="U116" s="15"/>
    </row>
    <row r="117" spans="7:8" ht="12.75">
      <c r="G117" s="380" t="s">
        <v>584</v>
      </c>
      <c r="H117" s="98" t="str">
        <f>HLOOKUP('Date Drivers'!$B$1,'Date Drivers'!$B$2:$Z$179,174)</f>
        <v>0</v>
      </c>
    </row>
    <row r="118" spans="1:8" ht="12.75">
      <c r="A118" s="41"/>
      <c r="C118" s="91"/>
      <c r="D118" s="41"/>
      <c r="E118" s="9"/>
      <c r="G118" s="380" t="s">
        <v>585</v>
      </c>
      <c r="H118" s="98" t="str">
        <f>HLOOKUP('Date Drivers'!$B$1,'Date Drivers'!$B$2:$Z$179,175)</f>
        <v>A</v>
      </c>
    </row>
    <row r="119" spans="1:8" ht="12.75">
      <c r="A119" s="61">
        <v>1</v>
      </c>
      <c r="B119" s="92" t="str">
        <f>HLOOKUP('Date Drivers'!$B$1,'Date Drivers'!$B$2:$Z$172,106)</f>
        <v>Английский (Немецкий)</v>
      </c>
      <c r="C119" s="98" t="str">
        <f>HLOOKUP('Date Drivers'!$B$1,'Date Drivers'!$B$2:$Z$172,114)</f>
        <v>0</v>
      </c>
      <c r="D119" s="98" t="str">
        <f>HLOOKUP('Date Drivers'!$B$1,'Date Drivers'!$B$2:$Z$172,122)</f>
        <v> </v>
      </c>
      <c r="E119" s="32"/>
      <c r="G119" s="380" t="s">
        <v>586</v>
      </c>
      <c r="H119" s="98" t="str">
        <f>HLOOKUP('Date Drivers'!$B$1,'Date Drivers'!$B$2:$Z$179,177)</f>
        <v>C</v>
      </c>
    </row>
    <row r="120" spans="1:8" ht="12.75">
      <c r="A120" s="61">
        <v>2</v>
      </c>
      <c r="B120" s="92" t="str">
        <f>HLOOKUP('Date Drivers'!$B$1,'Date Drivers'!$B$2:$Z$172,107)</f>
        <v>Px40 Английский (Английский)</v>
      </c>
      <c r="C120" s="98" t="str">
        <f>HLOOKUP('Date Drivers'!$B$1,'Date Drivers'!$B$2:$Z$172,115)</f>
        <v>*</v>
      </c>
      <c r="D120" s="98" t="str">
        <f>HLOOKUP('Date Drivers'!$B$1,'Date Drivers'!$B$2:$Z$172,123)</f>
        <v>-8**</v>
      </c>
      <c r="E120" s="32"/>
      <c r="G120" s="380" t="s">
        <v>587</v>
      </c>
      <c r="H120" s="102" t="str">
        <f>HLOOKUP('Date Drivers'!$B$1,'Date Drivers'!$B$2:$Z$179,178)</f>
        <v>D</v>
      </c>
    </row>
    <row r="121" spans="1:8" ht="12.75">
      <c r="A121" s="61">
        <v>3</v>
      </c>
      <c r="B121" s="92" t="str">
        <f>HLOOKUP('Date Drivers'!$B$1,'Date Drivers'!$B$2:$Z$172,108)</f>
        <v>Немецкий (Английский)</v>
      </c>
      <c r="C121" s="98" t="str">
        <f>HLOOKUP('Date Drivers'!$B$1,'Date Drivers'!$B$2:$Z$172,116)</f>
        <v>1</v>
      </c>
      <c r="D121" s="98" t="str">
        <f>HLOOKUP('Date Drivers'!$B$1,'Date Drivers'!$B$2:$Z$172,124)</f>
        <v>-801</v>
      </c>
      <c r="E121" s="32"/>
      <c r="G121" s="123" t="s">
        <v>72</v>
      </c>
      <c r="H121" s="98" t="str">
        <f>HLOOKUP('Date Drivers'!$B$1,'Date Drivers'!$B$2:$Z$179,175)</f>
        <v>A</v>
      </c>
    </row>
    <row r="122" spans="1:8" ht="12.75">
      <c r="A122" s="61">
        <v>4</v>
      </c>
      <c r="B122" s="92" t="str">
        <f>HLOOKUP('Date Drivers'!$B$1,'Date Drivers'!$B$2:$Z$172,109)</f>
        <v>Французский (Английский)</v>
      </c>
      <c r="C122" s="98" t="str">
        <f>HLOOKUP('Date Drivers'!$B$1,'Date Drivers'!$B$2:$Z$172,117)</f>
        <v>2</v>
      </c>
      <c r="D122" s="98" t="str">
        <f>HLOOKUP('Date Drivers'!$B$1,'Date Drivers'!$B$2:$Z$172,125)</f>
        <v>-802</v>
      </c>
      <c r="E122" s="32"/>
      <c r="G122" s="380" t="s">
        <v>1236</v>
      </c>
      <c r="H122" s="98" t="str">
        <f>HLOOKUP('Date Drivers'!$B$1,'Date Drivers'!$B$2:$Z$179,177)</f>
        <v>C</v>
      </c>
    </row>
    <row r="123" spans="1:8" ht="12.75">
      <c r="A123" s="61">
        <v>5</v>
      </c>
      <c r="B123" s="92" t="str">
        <f>HLOOKUP('Date Drivers'!$B$1,'Date Drivers'!$B$2:$Z$172,110)</f>
        <v>Испанский (Английский)</v>
      </c>
      <c r="C123" s="98" t="str">
        <f>HLOOKUP('Date Drivers'!$B$1,'Date Drivers'!$B$2:$Z$172,118)</f>
        <v>3</v>
      </c>
      <c r="D123" s="98" t="str">
        <f>HLOOKUP('Date Drivers'!$B$1,'Date Drivers'!$B$2:$Z$172,126)</f>
        <v>-803</v>
      </c>
      <c r="E123" s="32"/>
      <c r="G123" s="380" t="s">
        <v>173</v>
      </c>
      <c r="H123" s="98" t="str">
        <f>HLOOKUP('Date Drivers'!$B$1,'Date Drivers'!$B$2:$Z$179,178)</f>
        <v>D</v>
      </c>
    </row>
    <row r="124" spans="1:8" ht="12.75">
      <c r="A124" s="61">
        <v>6</v>
      </c>
      <c r="B124" s="92" t="str">
        <f>HLOOKUP('Date Drivers'!$B$1,'Date Drivers'!$B$2:$Z$172,111)</f>
        <v>Польский (Английский)</v>
      </c>
      <c r="C124" s="98" t="str">
        <f>HLOOKUP('Date Drivers'!$B$1,'Date Drivers'!$B$2:$Z$172,119)</f>
        <v>4</v>
      </c>
      <c r="D124" s="98" t="str">
        <f>HLOOKUP('Date Drivers'!$B$1,'Date Drivers'!$B$2:$Z$172,127)</f>
        <v>-804</v>
      </c>
      <c r="E124" s="32"/>
      <c r="G124" s="123" t="s">
        <v>1237</v>
      </c>
      <c r="H124" s="102" t="str">
        <f>HLOOKUP('Date Drivers'!$B$1,'Date Drivers'!$B$2:$Z$179,174)</f>
        <v>0</v>
      </c>
    </row>
    <row r="125" spans="1:8" ht="12.75">
      <c r="A125" s="61">
        <v>7</v>
      </c>
      <c r="B125" s="92" t="str">
        <f>HLOOKUP('Date Drivers'!$B$1,'Date Drivers'!$B$2:$Z$172,112)</f>
        <v>Русский (Английский)</v>
      </c>
      <c r="C125" s="98" t="str">
        <f>HLOOKUP('Date Drivers'!$B$1,'Date Drivers'!$B$2:$Z$172,120)</f>
        <v>5</v>
      </c>
      <c r="D125" s="98" t="str">
        <f>HLOOKUP('Date Drivers'!$B$1,'Date Drivers'!$B$2:$Z$172,128)</f>
        <v>-805</v>
      </c>
      <c r="E125" s="32"/>
      <c r="G125" s="123" t="s">
        <v>73</v>
      </c>
      <c r="H125" s="98" t="str">
        <f>HLOOKUP('Date Drivers'!$B$1,'Date Drivers'!$B$2:$Z$179,175)</f>
        <v>A</v>
      </c>
    </row>
    <row r="126" spans="1:8" ht="12.75">
      <c r="A126" s="63">
        <v>8</v>
      </c>
      <c r="B126" s="93" t="str">
        <f>HLOOKUP('Date Drivers'!$B$1,'Date Drivers'!$B$2:$Z$172,113)</f>
        <v>Китайский (Английский)</v>
      </c>
      <c r="C126" s="99" t="str">
        <f>HLOOKUP('Date Drivers'!$B$1,'Date Drivers'!$B$2:$Z$172,121)</f>
        <v>*</v>
      </c>
      <c r="D126" s="99" t="str">
        <f>HLOOKUP('Date Drivers'!$B$1,'Date Drivers'!$B$2:$Z$172,129)</f>
        <v>-8**</v>
      </c>
      <c r="E126" s="32"/>
      <c r="G126" s="380" t="s">
        <v>74</v>
      </c>
      <c r="H126" s="98" t="str">
        <f>HLOOKUP('Date Drivers'!$B$1,'Date Drivers'!$B$2:$Z$179,177)</f>
        <v>C</v>
      </c>
    </row>
    <row r="127" spans="7:8" ht="12.75">
      <c r="G127" s="380" t="s">
        <v>174</v>
      </c>
      <c r="H127" s="98" t="str">
        <f>HLOOKUP('Date Drivers'!$B$1,'Date Drivers'!$B$2:$Z$179,178)</f>
        <v>D</v>
      </c>
    </row>
    <row r="128" spans="1:8" ht="12.75">
      <c r="A128" s="41"/>
      <c r="C128" s="41"/>
      <c r="D128" s="91"/>
      <c r="E128" s="91"/>
      <c r="G128" s="123" t="s">
        <v>13</v>
      </c>
      <c r="H128" s="102" t="str">
        <f>HLOOKUP('Date Drivers'!$B$1,'Date Drivers'!$B$2:$Z$179,174)</f>
        <v>0</v>
      </c>
    </row>
    <row r="129" spans="1:8" ht="12.75">
      <c r="A129" s="61">
        <v>1</v>
      </c>
      <c r="B129" s="92" t="str">
        <f>HLOOKUP('Date Drivers'!$B$1,'Date Drivers'!$B$2:$Z$120,72)</f>
        <v>H</v>
      </c>
      <c r="C129" s="92" t="str">
        <f>HLOOKUP('Date Drivers'!$B$1,'Date Drivers'!$B$2:$Z$120,73)</f>
        <v>-634</v>
      </c>
      <c r="D129" s="92" t="str">
        <f>HLOOKUP('Date Drivers'!$B$1,'Date Drivers'!$B$2:$Z$120,89)</f>
        <v>J</v>
      </c>
      <c r="E129" s="92" t="str">
        <f>HLOOKUP('Date Drivers'!$B$1,'Date Drivers'!$B$2:$Z$120,90)</f>
        <v>-737</v>
      </c>
      <c r="G129" s="123" t="s">
        <v>6</v>
      </c>
      <c r="H129" s="98" t="str">
        <f>HLOOKUP('Date Drivers'!$B$1,'Date Drivers'!$B$2:$Z$179,175)</f>
        <v>A</v>
      </c>
    </row>
    <row r="130" spans="1:8" ht="12.75">
      <c r="A130" s="61">
        <v>2</v>
      </c>
      <c r="B130" s="92" t="str">
        <f>HLOOKUP('Date Drivers'!$B$1,'Date Drivers'!$B$2:$Z$120,74)</f>
        <v>*</v>
      </c>
      <c r="C130" s="92" t="str">
        <f>HLOOKUP('Date Drivers'!$B$1,'Date Drivers'!$B$2:$Z$120,75)</f>
        <v>-6**</v>
      </c>
      <c r="D130" s="92" t="str">
        <f>HLOOKUP('Date Drivers'!$B$1,'Date Drivers'!$B$2:$Z$120,91)</f>
        <v>*</v>
      </c>
      <c r="E130" s="92" t="str">
        <f>HLOOKUP('Date Drivers'!$B$1,'Date Drivers'!$B$2:$Z$120,92)</f>
        <v>-7**</v>
      </c>
      <c r="G130" s="380" t="s">
        <v>7</v>
      </c>
      <c r="H130" s="98" t="str">
        <f>HLOOKUP('Date Drivers'!$B$1,'Date Drivers'!$B$2:$Z$179,177)</f>
        <v>C</v>
      </c>
    </row>
    <row r="131" spans="1:8" ht="12.75">
      <c r="A131" s="61">
        <v>3</v>
      </c>
      <c r="B131" s="92" t="str">
        <f>HLOOKUP('Date Drivers'!$B$1,'Date Drivers'!$B$2:$Z$120,76)</f>
        <v>H</v>
      </c>
      <c r="C131" s="92" t="str">
        <f>HLOOKUP('Date Drivers'!$B$1,'Date Drivers'!$B$2:$Z$120,77)</f>
        <v>-634</v>
      </c>
      <c r="D131" s="92" t="str">
        <f>HLOOKUP('Date Drivers'!$B$1,'Date Drivers'!$B$2:$Z$120,93)</f>
        <v>J</v>
      </c>
      <c r="E131" s="92" t="str">
        <f>HLOOKUP('Date Drivers'!$B$1,'Date Drivers'!$B$2:$Z$120,94)</f>
        <v>-737</v>
      </c>
      <c r="G131" s="380" t="s">
        <v>3</v>
      </c>
      <c r="H131" s="98" t="str">
        <f>HLOOKUP('Date Drivers'!$B$1,'Date Drivers'!$B$2:$Z$179,178)</f>
        <v>D</v>
      </c>
    </row>
    <row r="132" spans="1:8" ht="12.75">
      <c r="A132" s="61">
        <v>4</v>
      </c>
      <c r="B132" s="92" t="str">
        <f>HLOOKUP('Date Drivers'!$B$1,'Date Drivers'!$B$2:$Z$120,78)</f>
        <v>H</v>
      </c>
      <c r="C132" s="92" t="str">
        <f>HLOOKUP('Date Drivers'!$B$1,'Date Drivers'!$B$2:$Z$120,79)</f>
        <v>-634</v>
      </c>
      <c r="D132" s="92" t="str">
        <f>HLOOKUP('Date Drivers'!$B$1,'Date Drivers'!$B$2:$Z$120,95)</f>
        <v>J</v>
      </c>
      <c r="E132" s="92" t="str">
        <f>HLOOKUP('Date Drivers'!$B$1,'Date Drivers'!$B$2:$Z$120,96)</f>
        <v>-737</v>
      </c>
      <c r="G132" s="123" t="s">
        <v>75</v>
      </c>
      <c r="H132" s="102" t="str">
        <f>HLOOKUP('Date Drivers'!$B$1,'Date Drivers'!$B$2:$Z$179,174)</f>
        <v>0</v>
      </c>
    </row>
    <row r="133" spans="1:8" ht="12.75">
      <c r="A133" s="61">
        <v>5</v>
      </c>
      <c r="B133" s="92" t="str">
        <f>HLOOKUP('Date Drivers'!$B$1,'Date Drivers'!$B$2:$Z$120,80)</f>
        <v>H</v>
      </c>
      <c r="C133" s="92" t="str">
        <f>HLOOKUP('Date Drivers'!$B$1,'Date Drivers'!$B$2:$Z$120,81)</f>
        <v>-634</v>
      </c>
      <c r="D133" s="92" t="str">
        <f>HLOOKUP('Date Drivers'!$B$1,'Date Drivers'!$B$2:$Z$120,97)</f>
        <v>J</v>
      </c>
      <c r="E133" s="92" t="str">
        <f>HLOOKUP('Date Drivers'!$B$1,'Date Drivers'!$B$2:$Z$120,98)</f>
        <v>-737</v>
      </c>
      <c r="G133" s="123" t="s">
        <v>76</v>
      </c>
      <c r="H133" s="98" t="str">
        <f>HLOOKUP('Date Drivers'!$B$1,'Date Drivers'!$B$2:$Z$179,175)</f>
        <v>A</v>
      </c>
    </row>
    <row r="134" spans="1:8" ht="12.75">
      <c r="A134" s="61">
        <v>6</v>
      </c>
      <c r="B134" s="92" t="str">
        <f>HLOOKUP('Date Drivers'!$B$1,'Date Drivers'!$B$2:$Z$120,82)</f>
        <v>H</v>
      </c>
      <c r="C134" s="92" t="str">
        <f>HLOOKUP('Date Drivers'!$B$1,'Date Drivers'!$B$2:$Z$120,83)</f>
        <v>-634</v>
      </c>
      <c r="D134" s="92" t="str">
        <f>HLOOKUP('Date Drivers'!$B$1,'Date Drivers'!$B$2:$Z$120,99)</f>
        <v>J</v>
      </c>
      <c r="E134" s="92" t="str">
        <f>HLOOKUP('Date Drivers'!$B$1,'Date Drivers'!$B$2:$Z$120,100)</f>
        <v>-737</v>
      </c>
      <c r="G134" s="380" t="s">
        <v>77</v>
      </c>
      <c r="H134" s="98" t="str">
        <f>HLOOKUP('Date Drivers'!$B$1,'Date Drivers'!$B$2:$Z$179,177)</f>
        <v>C</v>
      </c>
    </row>
    <row r="135" spans="1:8" ht="12.75">
      <c r="A135" s="61">
        <v>7</v>
      </c>
      <c r="B135" s="92" t="str">
        <f>HLOOKUP('Date Drivers'!$B$1,'Date Drivers'!$B$2:$Z$120,84)</f>
        <v>H</v>
      </c>
      <c r="C135" s="92" t="str">
        <f>HLOOKUP('Date Drivers'!$B$1,'Date Drivers'!$B$2:$Z$120,85)</f>
        <v>-634</v>
      </c>
      <c r="D135" s="92" t="str">
        <f>HLOOKUP('Date Drivers'!$B$1,'Date Drivers'!$B$2:$Z$120,101)</f>
        <v>J</v>
      </c>
      <c r="E135" s="92" t="str">
        <f>HLOOKUP('Date Drivers'!$B$1,'Date Drivers'!$B$2:$Z$120,102)</f>
        <v>-737</v>
      </c>
      <c r="G135" s="380" t="s">
        <v>175</v>
      </c>
      <c r="H135" s="98" t="str">
        <f>HLOOKUP('Date Drivers'!$B$1,'Date Drivers'!$B$2:$Z$179,178)</f>
        <v>D</v>
      </c>
    </row>
    <row r="136" spans="1:8" ht="12.75">
      <c r="A136" s="63">
        <v>8</v>
      </c>
      <c r="B136" s="93" t="str">
        <f>HLOOKUP('Date Drivers'!$B$1,'Date Drivers'!$B$2:$Z$120,86)</f>
        <v>*</v>
      </c>
      <c r="C136" s="93" t="str">
        <f>HLOOKUP('Date Drivers'!$B$1,'Date Drivers'!$B$2:$Z$120,87)</f>
        <v>-6**</v>
      </c>
      <c r="D136" s="93" t="str">
        <f>HLOOKUP('Date Drivers'!$B$1,'Date Drivers'!$B$2:$Z$120,103)</f>
        <v>*</v>
      </c>
      <c r="E136" s="93" t="str">
        <f>HLOOKUP('Date Drivers'!$B$1,'Date Drivers'!$B$2:$Z$120,104)</f>
        <v>-7**</v>
      </c>
      <c r="G136" s="123" t="s">
        <v>14</v>
      </c>
      <c r="H136" s="102" t="str">
        <f>HLOOKUP('Date Drivers'!$B$1,'Date Drivers'!$B$2:$Z$179,174)</f>
        <v>0</v>
      </c>
    </row>
    <row r="137" spans="1:8" ht="12.75">
      <c r="A137" s="9"/>
      <c r="B137" s="30"/>
      <c r="C137" s="30"/>
      <c r="D137" s="30"/>
      <c r="E137" s="30"/>
      <c r="G137" s="123" t="s">
        <v>8</v>
      </c>
      <c r="H137" s="98" t="str">
        <f>HLOOKUP('Date Drivers'!$B$1,'Date Drivers'!$B$2:$Z$179,175)</f>
        <v>A</v>
      </c>
    </row>
    <row r="138" spans="4:8" ht="12.75">
      <c r="D138" s="30"/>
      <c r="E138" s="30"/>
      <c r="G138" s="380" t="s">
        <v>9</v>
      </c>
      <c r="H138" s="98" t="str">
        <f>HLOOKUP('Date Drivers'!$B$1,'Date Drivers'!$B$2:$Z$179,177)</f>
        <v>C</v>
      </c>
    </row>
    <row r="139" spans="1:8" ht="12.75">
      <c r="A139" s="9"/>
      <c r="B139" s="30"/>
      <c r="C139" s="30"/>
      <c r="D139" s="308" t="s">
        <v>960</v>
      </c>
      <c r="E139" s="32"/>
      <c r="G139" s="380" t="s">
        <v>4</v>
      </c>
      <c r="H139" s="98" t="str">
        <f>HLOOKUP('Date Drivers'!$B$1,'Date Drivers'!$B$2:$Z$179,178)</f>
        <v>D</v>
      </c>
    </row>
    <row r="140" spans="1:8" ht="12.75">
      <c r="A140" s="9"/>
      <c r="B140" s="30"/>
      <c r="C140" s="30"/>
      <c r="D140" s="306" t="s">
        <v>958</v>
      </c>
      <c r="E140" s="307" t="s">
        <v>1240</v>
      </c>
      <c r="G140" s="123" t="s">
        <v>176</v>
      </c>
      <c r="H140" s="102" t="str">
        <f>HLOOKUP('Date Drivers'!$B$1,'Date Drivers'!$B$2:$Z$179,174)</f>
        <v>0</v>
      </c>
    </row>
    <row r="141" spans="1:8" ht="12.75">
      <c r="A141" s="9"/>
      <c r="B141" s="30"/>
      <c r="C141" s="30"/>
      <c r="D141" s="306" t="s">
        <v>1447</v>
      </c>
      <c r="E141" s="307" t="s">
        <v>46</v>
      </c>
      <c r="G141" s="123" t="s">
        <v>177</v>
      </c>
      <c r="H141" s="98" t="str">
        <f>HLOOKUP('Date Drivers'!$B$1,'Date Drivers'!$B$2:$Z$179,175)</f>
        <v>A</v>
      </c>
    </row>
    <row r="142" spans="1:8" ht="12.75">
      <c r="A142" s="9"/>
      <c r="B142" s="30"/>
      <c r="C142" s="30"/>
      <c r="D142" s="306" t="s">
        <v>1443</v>
      </c>
      <c r="E142" s="307" t="s">
        <v>39</v>
      </c>
      <c r="G142" s="380" t="s">
        <v>197</v>
      </c>
      <c r="H142" s="98" t="str">
        <f>HLOOKUP('Date Drivers'!$B$1,'Date Drivers'!$B$2:$Z$179,177)</f>
        <v>C</v>
      </c>
    </row>
    <row r="143" spans="1:8" ht="12.75">
      <c r="A143" s="9"/>
      <c r="B143" s="30"/>
      <c r="C143" s="30"/>
      <c r="D143" s="306" t="s">
        <v>1439</v>
      </c>
      <c r="E143" s="307" t="s">
        <v>17</v>
      </c>
      <c r="G143" s="380" t="s">
        <v>198</v>
      </c>
      <c r="H143" s="98" t="str">
        <f>HLOOKUP('Date Drivers'!$B$1,'Date Drivers'!$B$2:$Z$179,178)</f>
        <v>D</v>
      </c>
    </row>
    <row r="144" spans="1:8" ht="12.75">
      <c r="A144" s="9"/>
      <c r="B144" s="30"/>
      <c r="C144" s="30"/>
      <c r="D144" s="306" t="s">
        <v>1095</v>
      </c>
      <c r="E144" s="306">
        <v>3</v>
      </c>
      <c r="G144" s="123" t="s">
        <v>892</v>
      </c>
      <c r="H144" s="102" t="str">
        <f>HLOOKUP('Date Drivers'!$B$1,'Date Drivers'!$B$2:$Z$179,174)</f>
        <v>0</v>
      </c>
    </row>
    <row r="145" spans="1:8" ht="12.75">
      <c r="A145" s="9"/>
      <c r="B145" s="30"/>
      <c r="C145" s="30"/>
      <c r="D145" s="306" t="s">
        <v>1449</v>
      </c>
      <c r="E145" s="306" t="s">
        <v>1094</v>
      </c>
      <c r="G145" s="123" t="s">
        <v>893</v>
      </c>
      <c r="H145" s="98" t="str">
        <f>HLOOKUP('Date Drivers'!$B$1,'Date Drivers'!$B$2:$Z$179,175)</f>
        <v>A</v>
      </c>
    </row>
    <row r="146" spans="1:8" ht="12.75">
      <c r="A146" s="9"/>
      <c r="B146" s="30"/>
      <c r="C146" s="30"/>
      <c r="D146" s="306" t="s">
        <v>1445</v>
      </c>
      <c r="E146" s="306" t="s">
        <v>1091</v>
      </c>
      <c r="G146" s="380" t="s">
        <v>894</v>
      </c>
      <c r="H146" s="98" t="str">
        <f>HLOOKUP('Date Drivers'!$B$1,'Date Drivers'!$B$2:$Z$179,177)</f>
        <v>C</v>
      </c>
    </row>
    <row r="147" spans="1:8" ht="12.75">
      <c r="A147" s="9"/>
      <c r="B147" s="30"/>
      <c r="C147" s="30"/>
      <c r="D147" s="306" t="s">
        <v>1441</v>
      </c>
      <c r="E147" s="306">
        <v>8</v>
      </c>
      <c r="G147" s="400" t="s">
        <v>895</v>
      </c>
      <c r="H147" s="98" t="str">
        <f>HLOOKUP('Date Drivers'!$B$1,'Date Drivers'!$B$2:$Z$179,178)</f>
        <v>D</v>
      </c>
    </row>
    <row r="148" spans="1:8" ht="12.75">
      <c r="A148" s="9"/>
      <c r="B148" s="30"/>
      <c r="C148" s="30"/>
      <c r="D148" s="306" t="s">
        <v>1450</v>
      </c>
      <c r="E148" s="306" t="s">
        <v>1096</v>
      </c>
      <c r="G148" s="123" t="s">
        <v>12</v>
      </c>
      <c r="H148" s="102" t="str">
        <f>HLOOKUP('Date Drivers'!$B$1,'Date Drivers'!$B$2:$Z$179,174)</f>
        <v>0</v>
      </c>
    </row>
    <row r="149" spans="1:8" ht="12.75">
      <c r="A149" s="9"/>
      <c r="B149" s="30"/>
      <c r="C149" s="30"/>
      <c r="D149" s="306" t="s">
        <v>1446</v>
      </c>
      <c r="E149" s="306" t="s">
        <v>1093</v>
      </c>
      <c r="G149" s="123" t="s">
        <v>10</v>
      </c>
      <c r="H149" s="98" t="str">
        <f>HLOOKUP('Date Drivers'!$B$1,'Date Drivers'!$B$2:$Z$179,175)</f>
        <v>A</v>
      </c>
    </row>
    <row r="150" spans="1:8" ht="12.75">
      <c r="A150" s="9"/>
      <c r="B150" s="30"/>
      <c r="C150" s="30"/>
      <c r="D150" s="306" t="s">
        <v>1216</v>
      </c>
      <c r="E150" s="306">
        <v>4</v>
      </c>
      <c r="G150" s="380" t="s">
        <v>11</v>
      </c>
      <c r="H150" s="98" t="str">
        <f>HLOOKUP('Date Drivers'!$B$1,'Date Drivers'!$B$2:$Z$179,177)</f>
        <v>C</v>
      </c>
    </row>
    <row r="151" spans="1:8" ht="12.75">
      <c r="A151" s="9"/>
      <c r="B151" s="30"/>
      <c r="C151" s="30"/>
      <c r="D151" s="306" t="s">
        <v>1442</v>
      </c>
      <c r="E151" s="306">
        <v>9</v>
      </c>
      <c r="G151" s="380" t="s">
        <v>5</v>
      </c>
      <c r="H151" s="98" t="str">
        <f>HLOOKUP('Date Drivers'!$B$1,'Date Drivers'!$B$2:$Z$179,178)</f>
        <v>D</v>
      </c>
    </row>
    <row r="152" spans="1:8" ht="12.75">
      <c r="A152" s="9"/>
      <c r="B152" s="30"/>
      <c r="C152" s="30"/>
      <c r="D152" s="306" t="s">
        <v>959</v>
      </c>
      <c r="E152" s="307" t="s">
        <v>16</v>
      </c>
      <c r="G152" s="123" t="s">
        <v>896</v>
      </c>
      <c r="H152" s="102" t="str">
        <f>HLOOKUP('Date Drivers'!$B$1,'Date Drivers'!$B$2:$Z$179,174)</f>
        <v>0</v>
      </c>
    </row>
    <row r="153" spans="1:8" ht="12.75">
      <c r="A153" s="9"/>
      <c r="B153" s="30"/>
      <c r="C153" s="30"/>
      <c r="D153" s="306" t="s">
        <v>1448</v>
      </c>
      <c r="E153" s="307" t="s">
        <v>48</v>
      </c>
      <c r="G153" s="123" t="s">
        <v>897</v>
      </c>
      <c r="H153" s="98" t="str">
        <f>HLOOKUP('Date Drivers'!$B$1,'Date Drivers'!$B$2:$Z$179,175)</f>
        <v>A</v>
      </c>
    </row>
    <row r="154" spans="1:8" ht="12.75">
      <c r="A154" s="9"/>
      <c r="B154" s="30"/>
      <c r="C154" s="30"/>
      <c r="D154" s="306" t="s">
        <v>1444</v>
      </c>
      <c r="E154" s="307" t="s">
        <v>45</v>
      </c>
      <c r="G154" s="380" t="s">
        <v>898</v>
      </c>
      <c r="H154" s="98" t="str">
        <f>HLOOKUP('Date Drivers'!$B$1,'Date Drivers'!$B$2:$Z$179,177)</f>
        <v>C</v>
      </c>
    </row>
    <row r="155" spans="1:8" ht="12.75">
      <c r="A155" s="9"/>
      <c r="B155" s="30"/>
      <c r="C155" s="30"/>
      <c r="D155" s="306" t="s">
        <v>1440</v>
      </c>
      <c r="E155" s="307" t="s">
        <v>36</v>
      </c>
      <c r="G155" s="400" t="s">
        <v>899</v>
      </c>
      <c r="H155" s="98" t="str">
        <f>HLOOKUP('Date Drivers'!$B$1,'Date Drivers'!$B$2:$Z$179,178)</f>
        <v>D</v>
      </c>
    </row>
    <row r="156" spans="1:7" s="1" customFormat="1" ht="12.75">
      <c r="A156" s="9"/>
      <c r="B156" s="30"/>
      <c r="C156" s="30"/>
      <c r="D156" s="306" t="s">
        <v>1073</v>
      </c>
      <c r="E156" s="307" t="s">
        <v>1215</v>
      </c>
      <c r="F156"/>
      <c r="G156"/>
    </row>
    <row r="157" spans="1:5" ht="12.75">
      <c r="A157" s="9"/>
      <c r="B157" s="30"/>
      <c r="C157" s="30"/>
      <c r="D157" s="184"/>
      <c r="E157" s="30"/>
    </row>
    <row r="158" spans="1:5" ht="12.75">
      <c r="A158" s="33"/>
      <c r="C158" s="183"/>
      <c r="D158" s="184"/>
      <c r="E158" s="30"/>
    </row>
    <row r="159" spans="1:8" ht="12.75">
      <c r="A159" s="22">
        <v>1</v>
      </c>
      <c r="B159" s="185" t="str">
        <f>HLOOKUP('Date Drivers'!$B$1,'Date Drivers'!$B$2:$B$193,189)</f>
        <v>Areva (Available from 4/10/04)</v>
      </c>
      <c r="C159" s="186">
        <f>HLOOKUP('Date Drivers'!$B$1,'Date Drivers'!$B$2:$B$193,191)</f>
        <v>2</v>
      </c>
      <c r="D159" s="15"/>
      <c r="E159" s="90"/>
      <c r="H159"/>
    </row>
    <row r="160" spans="1:14" ht="12.75">
      <c r="A160" s="35">
        <v>2</v>
      </c>
      <c r="B160" s="187" t="str">
        <f>HLOOKUP('Date Drivers'!$B$1,'Date Drivers'!$B$2:$B$193,190)</f>
        <v> </v>
      </c>
      <c r="C160" s="188">
        <f>HLOOKUP('Date Drivers'!$B$1,'Date Drivers'!$B$2:$B$193,192)</f>
        <v>2</v>
      </c>
      <c r="D160" s="15"/>
      <c r="E160" s="15"/>
      <c r="H160"/>
      <c r="I160" s="1"/>
      <c r="N160" s="90" t="s">
        <v>345</v>
      </c>
    </row>
    <row r="161" spans="2:8" ht="12.75">
      <c r="B161" s="15"/>
      <c r="C161" s="15"/>
      <c r="D161" s="15"/>
      <c r="E161" s="15"/>
      <c r="H161"/>
    </row>
    <row r="162" spans="1:3" s="15" customFormat="1" ht="12.75">
      <c r="A162" s="9"/>
      <c r="B162" s="30"/>
      <c r="C162" s="30"/>
    </row>
    <row r="163" spans="1:3" s="15" customFormat="1" ht="12.75">
      <c r="A163" s="9"/>
      <c r="C163" s="571"/>
    </row>
    <row r="164" spans="1:3" s="15" customFormat="1" ht="12.75">
      <c r="A164" s="9"/>
      <c r="C164" s="571"/>
    </row>
    <row r="165" spans="1:3" s="15" customFormat="1" ht="12.75">
      <c r="A165" s="9"/>
      <c r="B165" s="251"/>
      <c r="C165" s="571"/>
    </row>
    <row r="166" spans="1:3" s="15" customFormat="1" ht="12.75">
      <c r="A166" s="9"/>
      <c r="B166" s="251"/>
      <c r="C166" s="571"/>
    </row>
    <row r="167" spans="1:3" s="15" customFormat="1" ht="12.75">
      <c r="A167" s="9"/>
      <c r="B167" s="251"/>
      <c r="C167" s="571"/>
    </row>
    <row r="168" spans="1:3" s="15" customFormat="1" ht="12.75">
      <c r="A168" s="9"/>
      <c r="B168" s="251"/>
      <c r="C168" s="571"/>
    </row>
    <row r="169" spans="1:2" s="15" customFormat="1" ht="12.75">
      <c r="A169" s="9"/>
      <c r="B169" s="251"/>
    </row>
    <row r="170" spans="1:2" s="15" customFormat="1" ht="12.75">
      <c r="A170" s="9"/>
      <c r="B170" s="251"/>
    </row>
    <row r="171" s="15" customFormat="1" ht="12.75">
      <c r="A171" s="9"/>
    </row>
    <row r="172" s="15" customFormat="1" ht="12.75">
      <c r="A172" s="9"/>
    </row>
    <row r="173" s="15" customFormat="1" ht="12.75">
      <c r="A173" s="9"/>
    </row>
    <row r="174" s="15" customFormat="1" ht="12.75">
      <c r="A174" s="9"/>
    </row>
    <row r="175" s="15" customFormat="1" ht="12.75">
      <c r="A175" s="9"/>
    </row>
    <row r="176" s="15" customFormat="1" ht="12.75">
      <c r="A176" s="9"/>
    </row>
    <row r="177" s="15" customFormat="1" ht="12.75">
      <c r="A177" s="9"/>
    </row>
    <row r="178" s="15" customFormat="1" ht="12.75">
      <c r="A178" s="9"/>
    </row>
    <row r="179" s="15" customFormat="1" ht="12.75">
      <c r="A179" s="9"/>
    </row>
    <row r="180" s="15" customFormat="1" ht="12.75">
      <c r="A180" s="9"/>
    </row>
    <row r="181" s="15" customFormat="1" ht="12.75">
      <c r="A181" s="9"/>
    </row>
    <row r="182" s="15" customFormat="1" ht="12.75">
      <c r="A182" s="9"/>
    </row>
    <row r="183" s="15" customFormat="1" ht="12.75">
      <c r="A183" s="9"/>
    </row>
    <row r="184" s="15" customFormat="1" ht="12.75">
      <c r="A184" s="9"/>
    </row>
    <row r="185" s="15" customFormat="1" ht="12.75">
      <c r="A185" s="9"/>
    </row>
    <row r="186" s="15" customFormat="1" ht="12.75">
      <c r="A186" s="9"/>
    </row>
    <row r="187" s="15" customFormat="1" ht="12.75">
      <c r="A187" s="9"/>
    </row>
    <row r="188" s="15" customFormat="1" ht="12.75">
      <c r="A188" s="9"/>
    </row>
    <row r="189" s="15" customFormat="1" ht="12.75">
      <c r="A189" s="9"/>
    </row>
    <row r="190" s="15" customFormat="1" ht="12.75">
      <c r="A190" s="9"/>
    </row>
    <row r="191" s="15" customFormat="1" ht="12.75">
      <c r="A191" s="9"/>
    </row>
    <row r="192" s="15" customFormat="1" ht="12.75">
      <c r="A192" s="9"/>
    </row>
    <row r="193" s="15" customFormat="1" ht="12.75">
      <c r="A193" s="9"/>
    </row>
    <row r="194" s="15" customFormat="1" ht="12.75">
      <c r="A194" s="9"/>
    </row>
    <row r="195" s="15" customFormat="1" ht="12.75">
      <c r="A195" s="9"/>
    </row>
    <row r="196" s="15" customFormat="1" ht="12.75">
      <c r="A196" s="9"/>
    </row>
    <row r="197" s="15" customFormat="1" ht="12.75">
      <c r="A197" s="9"/>
    </row>
    <row r="198" s="15" customFormat="1" ht="12.75">
      <c r="A198" s="9"/>
    </row>
    <row r="199" s="15" customFormat="1" ht="12.75">
      <c r="A199" s="9"/>
    </row>
    <row r="200" s="15" customFormat="1" ht="12.75">
      <c r="A200" s="9"/>
    </row>
    <row r="201" s="15" customFormat="1" ht="12.75">
      <c r="A201" s="9"/>
    </row>
    <row r="202" s="15" customFormat="1" ht="12.75">
      <c r="A202" s="9"/>
    </row>
    <row r="203" s="15" customFormat="1" ht="12.75">
      <c r="A203" s="9"/>
    </row>
    <row r="204" s="15" customFormat="1" ht="12.75">
      <c r="A204" s="9"/>
    </row>
    <row r="205" s="15" customFormat="1" ht="12.75">
      <c r="A205" s="9"/>
    </row>
    <row r="206" s="15" customFormat="1" ht="12.75">
      <c r="A206" s="9"/>
    </row>
    <row r="207" s="15" customFormat="1" ht="12.75">
      <c r="A207" s="9"/>
    </row>
    <row r="208" s="15" customFormat="1" ht="12.75">
      <c r="A208" s="9"/>
    </row>
    <row r="209" s="15" customFormat="1" ht="12.75">
      <c r="A209" s="9"/>
    </row>
    <row r="210" s="15" customFormat="1" ht="12.75">
      <c r="A210" s="9"/>
    </row>
    <row r="211" s="15" customFormat="1" ht="12.75">
      <c r="A211" s="9"/>
    </row>
    <row r="212" s="15" customFormat="1" ht="12.75">
      <c r="A212" s="9"/>
    </row>
    <row r="213" s="15" customFormat="1" ht="12.75">
      <c r="A213" s="9"/>
    </row>
    <row r="214" s="15" customFormat="1" ht="12.75">
      <c r="A214" s="9"/>
    </row>
    <row r="215" s="15" customFormat="1" ht="12.75">
      <c r="A215" s="9"/>
    </row>
    <row r="216" s="15" customFormat="1" ht="12.75">
      <c r="A216" s="9"/>
    </row>
    <row r="217" s="15" customFormat="1" ht="12.75">
      <c r="A217" s="9"/>
    </row>
    <row r="218" spans="1:5" s="15" customFormat="1" ht="12.75">
      <c r="A218" s="9"/>
      <c r="D218"/>
      <c r="E218"/>
    </row>
    <row r="219" spans="1:5" s="15" customFormat="1" ht="12.75">
      <c r="A219" s="9"/>
      <c r="D219"/>
      <c r="E219"/>
    </row>
    <row r="220" spans="1:8" s="15" customFormat="1" ht="12.75">
      <c r="A220" s="9"/>
      <c r="B220"/>
      <c r="C220" s="1"/>
      <c r="D220"/>
      <c r="E220"/>
      <c r="F220"/>
      <c r="G220"/>
      <c r="H220" s="1"/>
    </row>
    <row r="221" ht="12.75">
      <c r="A221" s="9"/>
    </row>
    <row r="225" ht="12.75">
      <c r="D225" s="177"/>
    </row>
    <row r="226" ht="12.75">
      <c r="D226" s="177"/>
    </row>
    <row r="227" spans="3:8" ht="12.75">
      <c r="C227"/>
      <c r="D227" s="177"/>
      <c r="H227"/>
    </row>
    <row r="228" spans="3:9" ht="12.75">
      <c r="C228"/>
      <c r="D228" s="177"/>
      <c r="H228"/>
      <c r="I228" s="1"/>
    </row>
    <row r="229" spans="3:9" ht="12.75">
      <c r="C229"/>
      <c r="D229" s="177"/>
      <c r="H229"/>
      <c r="I229" s="1"/>
    </row>
    <row r="230" spans="3:9" ht="12.75">
      <c r="C230"/>
      <c r="D230" s="177"/>
      <c r="H230"/>
      <c r="I230" s="1"/>
    </row>
    <row r="231" spans="3:9" ht="12.75">
      <c r="C231"/>
      <c r="D231" s="177"/>
      <c r="H231"/>
      <c r="I231" s="1"/>
    </row>
    <row r="232" spans="3:9" ht="12.75">
      <c r="C232"/>
      <c r="D232" s="177"/>
      <c r="H232"/>
      <c r="I232" s="1"/>
    </row>
    <row r="233" spans="3:9" ht="12.75">
      <c r="C233"/>
      <c r="D233" s="177"/>
      <c r="H233"/>
      <c r="I233" s="1"/>
    </row>
    <row r="234" spans="3:9" ht="12.75">
      <c r="C234"/>
      <c r="D234" s="177"/>
      <c r="H234"/>
      <c r="I234" s="1"/>
    </row>
    <row r="235" spans="3:9" ht="12.75">
      <c r="C235"/>
      <c r="D235" s="177"/>
      <c r="H235"/>
      <c r="I235" s="1"/>
    </row>
    <row r="236" spans="3:9" ht="12.75">
      <c r="C236"/>
      <c r="D236" s="177"/>
      <c r="H236"/>
      <c r="I236" s="1"/>
    </row>
    <row r="237" spans="3:9" ht="12.75">
      <c r="C237"/>
      <c r="D237" s="1"/>
      <c r="H237"/>
      <c r="I237" s="1"/>
    </row>
    <row r="238" spans="3:9" ht="12.75">
      <c r="C238"/>
      <c r="D238" s="33" t="s">
        <v>277</v>
      </c>
      <c r="E238" s="28" t="s">
        <v>277</v>
      </c>
      <c r="H238"/>
      <c r="I238" s="1"/>
    </row>
    <row r="239" spans="3:9" ht="12.75">
      <c r="C239"/>
      <c r="D239" s="22" t="s">
        <v>86</v>
      </c>
      <c r="E239" s="97" t="s">
        <v>86</v>
      </c>
      <c r="H239"/>
      <c r="I239" s="1"/>
    </row>
    <row r="240" spans="3:9" ht="12.75">
      <c r="C240"/>
      <c r="D240" s="22" t="s">
        <v>89</v>
      </c>
      <c r="E240" s="97" t="s">
        <v>89</v>
      </c>
      <c r="H240"/>
      <c r="I240" s="1"/>
    </row>
    <row r="241" spans="3:9" ht="12.75">
      <c r="C241"/>
      <c r="D241" s="22" t="s">
        <v>92</v>
      </c>
      <c r="E241" s="97" t="s">
        <v>92</v>
      </c>
      <c r="H241"/>
      <c r="I241" s="1"/>
    </row>
    <row r="242" spans="3:9" ht="12.75">
      <c r="C242"/>
      <c r="D242" s="22" t="s">
        <v>88</v>
      </c>
      <c r="E242" s="97" t="s">
        <v>88</v>
      </c>
      <c r="H242"/>
      <c r="I242" s="1"/>
    </row>
    <row r="243" spans="3:9" ht="12.75">
      <c r="C243"/>
      <c r="D243" s="22" t="s">
        <v>91</v>
      </c>
      <c r="E243" s="97" t="s">
        <v>91</v>
      </c>
      <c r="H243"/>
      <c r="I243" s="1"/>
    </row>
    <row r="244" spans="3:9" ht="12.75">
      <c r="C244"/>
      <c r="D244" s="22" t="s">
        <v>94</v>
      </c>
      <c r="E244" s="97" t="s">
        <v>94</v>
      </c>
      <c r="H244"/>
      <c r="I244" s="1"/>
    </row>
    <row r="245" spans="3:9" ht="12.75">
      <c r="C245"/>
      <c r="D245" s="22" t="s">
        <v>87</v>
      </c>
      <c r="E245" s="97" t="s">
        <v>87</v>
      </c>
      <c r="H245"/>
      <c r="I245" s="1"/>
    </row>
    <row r="246" spans="3:9" ht="12.75">
      <c r="C246"/>
      <c r="D246" s="22" t="s">
        <v>90</v>
      </c>
      <c r="E246" s="97" t="s">
        <v>90</v>
      </c>
      <c r="H246"/>
      <c r="I246" s="1"/>
    </row>
    <row r="247" spans="3:9" ht="12.75">
      <c r="C247"/>
      <c r="D247" s="22" t="s">
        <v>93</v>
      </c>
      <c r="E247" s="97" t="s">
        <v>93</v>
      </c>
      <c r="H247"/>
      <c r="I247" s="1"/>
    </row>
    <row r="248" spans="3:9" ht="12.75">
      <c r="C248"/>
      <c r="D248" s="22" t="s">
        <v>101</v>
      </c>
      <c r="E248" s="97" t="s">
        <v>118</v>
      </c>
      <c r="H248"/>
      <c r="I248" s="1"/>
    </row>
    <row r="249" spans="3:9" ht="12.75">
      <c r="C249"/>
      <c r="D249" s="22" t="s">
        <v>98</v>
      </c>
      <c r="E249" s="97" t="s">
        <v>115</v>
      </c>
      <c r="H249"/>
      <c r="I249" s="1"/>
    </row>
    <row r="250" spans="3:9" ht="12.75">
      <c r="C250"/>
      <c r="D250" s="22" t="s">
        <v>95</v>
      </c>
      <c r="E250" s="97" t="s">
        <v>84</v>
      </c>
      <c r="H250"/>
      <c r="I250" s="1"/>
    </row>
    <row r="251" spans="3:9" ht="12.75">
      <c r="C251"/>
      <c r="D251" s="22" t="s">
        <v>217</v>
      </c>
      <c r="E251" s="97" t="s">
        <v>113</v>
      </c>
      <c r="H251"/>
      <c r="I251" s="1"/>
    </row>
    <row r="252" spans="3:9" ht="12.75">
      <c r="C252"/>
      <c r="D252" s="22" t="s">
        <v>103</v>
      </c>
      <c r="E252" s="97" t="s">
        <v>120</v>
      </c>
      <c r="H252"/>
      <c r="I252" s="1"/>
    </row>
    <row r="253" spans="3:9" ht="12.75">
      <c r="C253"/>
      <c r="D253" s="22" t="s">
        <v>100</v>
      </c>
      <c r="E253" s="97" t="s">
        <v>117</v>
      </c>
      <c r="H253"/>
      <c r="I253" s="1"/>
    </row>
    <row r="254" spans="3:9" ht="12.75">
      <c r="C254"/>
      <c r="D254" s="22" t="s">
        <v>97</v>
      </c>
      <c r="E254" s="97" t="s">
        <v>114</v>
      </c>
      <c r="H254"/>
      <c r="I254" s="1"/>
    </row>
    <row r="255" spans="3:9" ht="12.75">
      <c r="C255"/>
      <c r="D255" s="22" t="s">
        <v>102</v>
      </c>
      <c r="E255" s="97" t="s">
        <v>119</v>
      </c>
      <c r="H255"/>
      <c r="I255" s="1"/>
    </row>
    <row r="256" spans="3:9" ht="12.75">
      <c r="C256"/>
      <c r="D256" s="22" t="s">
        <v>99</v>
      </c>
      <c r="E256" s="97" t="s">
        <v>116</v>
      </c>
      <c r="H256"/>
      <c r="I256" s="1"/>
    </row>
    <row r="257" spans="3:9" ht="12.75">
      <c r="C257"/>
      <c r="D257" s="22" t="s">
        <v>96</v>
      </c>
      <c r="E257" s="97" t="s">
        <v>120</v>
      </c>
      <c r="H257"/>
      <c r="I257" s="1"/>
    </row>
    <row r="258" spans="3:9" ht="12.75">
      <c r="C258"/>
      <c r="D258" s="22" t="s">
        <v>110</v>
      </c>
      <c r="E258" s="97" t="s">
        <v>113</v>
      </c>
      <c r="H258"/>
      <c r="I258" s="1"/>
    </row>
    <row r="259" spans="3:9" ht="12.75">
      <c r="C259"/>
      <c r="D259" s="22" t="s">
        <v>107</v>
      </c>
      <c r="E259" s="97" t="s">
        <v>124</v>
      </c>
      <c r="H259"/>
      <c r="I259" s="1"/>
    </row>
    <row r="260" spans="3:9" ht="12.75">
      <c r="C260"/>
      <c r="D260" s="22" t="s">
        <v>104</v>
      </c>
      <c r="E260" s="97" t="s">
        <v>121</v>
      </c>
      <c r="H260"/>
      <c r="I260" s="1"/>
    </row>
    <row r="261" spans="3:9" ht="12.75">
      <c r="C261"/>
      <c r="D261" s="22" t="s">
        <v>219</v>
      </c>
      <c r="E261" s="97" t="s">
        <v>220</v>
      </c>
      <c r="H261"/>
      <c r="I261" s="1"/>
    </row>
    <row r="262" spans="3:9" ht="12.75">
      <c r="C262"/>
      <c r="D262" s="22" t="s">
        <v>112</v>
      </c>
      <c r="E262" s="97" t="s">
        <v>113</v>
      </c>
      <c r="H262"/>
      <c r="I262" s="1"/>
    </row>
    <row r="263" spans="3:9" ht="12.75">
      <c r="C263"/>
      <c r="D263" s="22" t="s">
        <v>109</v>
      </c>
      <c r="E263" s="97" t="s">
        <v>126</v>
      </c>
      <c r="H263"/>
      <c r="I263" s="1"/>
    </row>
    <row r="264" spans="3:9" ht="12.75">
      <c r="C264"/>
      <c r="D264" s="22" t="s">
        <v>106</v>
      </c>
      <c r="E264" s="97" t="s">
        <v>123</v>
      </c>
      <c r="H264"/>
      <c r="I264" s="1"/>
    </row>
    <row r="265" spans="3:9" ht="12.75">
      <c r="C265"/>
      <c r="D265" s="22" t="s">
        <v>223</v>
      </c>
      <c r="E265" s="97" t="s">
        <v>224</v>
      </c>
      <c r="H265"/>
      <c r="I265" s="1"/>
    </row>
    <row r="266" spans="3:9" ht="12.75">
      <c r="C266"/>
      <c r="D266" s="22" t="s">
        <v>111</v>
      </c>
      <c r="E266" s="97" t="s">
        <v>113</v>
      </c>
      <c r="H266"/>
      <c r="I266" s="1"/>
    </row>
    <row r="267" spans="3:9" ht="12.75">
      <c r="C267"/>
      <c r="D267" s="22" t="s">
        <v>108</v>
      </c>
      <c r="E267" s="97" t="s">
        <v>125</v>
      </c>
      <c r="H267"/>
      <c r="I267" s="1"/>
    </row>
    <row r="268" spans="3:9" ht="12.75">
      <c r="C268"/>
      <c r="D268" s="22" t="s">
        <v>105</v>
      </c>
      <c r="E268" s="97" t="s">
        <v>122</v>
      </c>
      <c r="H268"/>
      <c r="I268" s="1"/>
    </row>
    <row r="269" spans="3:9" ht="12.75">
      <c r="C269"/>
      <c r="D269" s="22" t="s">
        <v>221</v>
      </c>
      <c r="E269" s="97" t="s">
        <v>222</v>
      </c>
      <c r="H269"/>
      <c r="I269" s="1"/>
    </row>
    <row r="270" spans="3:9" ht="12.75">
      <c r="C270"/>
      <c r="D270" s="124" t="s">
        <v>266</v>
      </c>
      <c r="E270" s="125" t="s">
        <v>267</v>
      </c>
      <c r="H270"/>
      <c r="I270" s="1"/>
    </row>
    <row r="271" spans="3:9" ht="12.75">
      <c r="C271"/>
      <c r="D271" s="124" t="s">
        <v>273</v>
      </c>
      <c r="E271" s="125" t="s">
        <v>113</v>
      </c>
      <c r="H271"/>
      <c r="I271" s="1"/>
    </row>
    <row r="272" spans="3:9" ht="12.75">
      <c r="C272"/>
      <c r="D272" s="124" t="s">
        <v>270</v>
      </c>
      <c r="E272" s="126" t="s">
        <v>271</v>
      </c>
      <c r="H272"/>
      <c r="I272" s="1"/>
    </row>
    <row r="273" spans="3:9" ht="12.75">
      <c r="C273"/>
      <c r="D273" s="124" t="s">
        <v>268</v>
      </c>
      <c r="E273" s="126" t="s">
        <v>269</v>
      </c>
      <c r="H273"/>
      <c r="I273" s="1"/>
    </row>
    <row r="274" spans="3:9" ht="12.75">
      <c r="C274"/>
      <c r="D274" s="22" t="s">
        <v>225</v>
      </c>
      <c r="E274" s="97" t="s">
        <v>113</v>
      </c>
      <c r="H274"/>
      <c r="I274" s="1"/>
    </row>
    <row r="275" spans="3:9" ht="12.75">
      <c r="C275"/>
      <c r="D275" s="22" t="s">
        <v>218</v>
      </c>
      <c r="E275" s="97" t="s">
        <v>211</v>
      </c>
      <c r="H275"/>
      <c r="I275" s="1"/>
    </row>
    <row r="276" spans="3:9" ht="12.75">
      <c r="C276"/>
      <c r="D276" s="22" t="s">
        <v>216</v>
      </c>
      <c r="E276" s="97" t="s">
        <v>113</v>
      </c>
      <c r="H276"/>
      <c r="I276" s="1"/>
    </row>
    <row r="277" spans="3:9" ht="12.75">
      <c r="C277"/>
      <c r="D277" s="22" t="s">
        <v>214</v>
      </c>
      <c r="E277" s="97" t="s">
        <v>215</v>
      </c>
      <c r="H277"/>
      <c r="I277" s="1"/>
    </row>
    <row r="278" spans="3:9" ht="12.75">
      <c r="C278"/>
      <c r="D278" s="22" t="s">
        <v>226</v>
      </c>
      <c r="E278" s="97" t="s">
        <v>113</v>
      </c>
      <c r="H278"/>
      <c r="I278" s="1"/>
    </row>
    <row r="279" spans="3:9" ht="12.75">
      <c r="C279"/>
      <c r="D279" s="22" t="s">
        <v>212</v>
      </c>
      <c r="E279" s="97" t="s">
        <v>213</v>
      </c>
      <c r="H279"/>
      <c r="I279" s="1"/>
    </row>
    <row r="280" spans="3:9" ht="12.75">
      <c r="C280"/>
      <c r="D280" s="22" t="s">
        <v>278</v>
      </c>
      <c r="E280" s="82" t="s">
        <v>279</v>
      </c>
      <c r="H280"/>
      <c r="I280" s="1"/>
    </row>
    <row r="281" spans="3:9" ht="12.75">
      <c r="C281"/>
      <c r="D281" s="22" t="s">
        <v>261</v>
      </c>
      <c r="E281" s="82" t="s">
        <v>224</v>
      </c>
      <c r="H281"/>
      <c r="I281" s="1"/>
    </row>
    <row r="282" spans="3:9" ht="12.75">
      <c r="C282"/>
      <c r="D282" s="22" t="s">
        <v>272</v>
      </c>
      <c r="E282" s="97" t="s">
        <v>113</v>
      </c>
      <c r="H282"/>
      <c r="I282" s="1"/>
    </row>
    <row r="283" spans="3:9" ht="12.75">
      <c r="C283"/>
      <c r="D283" s="22" t="s">
        <v>280</v>
      </c>
      <c r="E283" s="82" t="s">
        <v>281</v>
      </c>
      <c r="H283"/>
      <c r="I283" s="1"/>
    </row>
    <row r="284" spans="4:9" ht="12.75">
      <c r="D284" s="22" t="s">
        <v>264</v>
      </c>
      <c r="E284" s="82" t="s">
        <v>263</v>
      </c>
      <c r="I284" s="1"/>
    </row>
    <row r="285" spans="4:5" ht="12.75">
      <c r="D285" s="22" t="s">
        <v>282</v>
      </c>
      <c r="E285" s="82" t="s">
        <v>283</v>
      </c>
    </row>
    <row r="286" spans="4:5" ht="12.75">
      <c r="D286" s="35" t="s">
        <v>262</v>
      </c>
      <c r="E286" s="83" t="s">
        <v>265</v>
      </c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</sheetData>
  <sheetProtection password="D02D" sheet="1"/>
  <printOptions/>
  <pageMargins left="0.75" right="0.75" top="1" bottom="1" header="0.5" footer="0.5"/>
  <pageSetup fitToHeight="1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45"/>
  <sheetViews>
    <sheetView showGridLines="0" showRowColHeaders="0" zoomScalePageLayoutView="0" workbookViewId="0" topLeftCell="A1">
      <pane ySplit="8" topLeftCell="A9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7.7109375" style="3" customWidth="1"/>
    <col min="2" max="2" width="4.57421875" style="3" customWidth="1"/>
    <col min="3" max="3" width="2.8515625" style="3" bestFit="1" customWidth="1"/>
    <col min="4" max="4" width="8.00390625" style="3" customWidth="1"/>
    <col min="5" max="11" width="3.28125" style="3" customWidth="1"/>
    <col min="12" max="14" width="6.8515625" style="3" bestFit="1" customWidth="1"/>
    <col min="15" max="20" width="6.8515625" style="3" customWidth="1"/>
    <col min="21" max="21" width="4.7109375" style="3" customWidth="1"/>
    <col min="22" max="16384" width="9.140625" style="3" customWidth="1"/>
  </cols>
  <sheetData>
    <row r="1" spans="1:21" s="4" customFormat="1" ht="18" hidden="1">
      <c r="A1" s="291" t="s">
        <v>80</v>
      </c>
      <c r="B1" s="26"/>
      <c r="C1" s="26"/>
      <c r="D1" s="26"/>
      <c r="E1" s="26"/>
      <c r="F1" s="26"/>
      <c r="H1" s="26"/>
      <c r="I1" s="26"/>
      <c r="J1" s="26"/>
      <c r="K1" s="26"/>
      <c r="L1" s="26"/>
      <c r="M1" s="600">
        <f>VLOOKUP(Tendering!$B$16,Database!$A$1:$C$26,3,FALSE)</f>
        <v>41369</v>
      </c>
      <c r="N1" s="601"/>
      <c r="O1" s="26"/>
      <c r="P1" s="26"/>
      <c r="Q1" s="26"/>
      <c r="R1" s="26"/>
      <c r="S1" s="26"/>
      <c r="T1" s="26"/>
      <c r="U1" s="8"/>
    </row>
    <row r="2" spans="1:23" s="4" customFormat="1" ht="24">
      <c r="A2" s="314" t="s">
        <v>1431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15" t="s">
        <v>688</v>
      </c>
      <c r="P2" s="7"/>
      <c r="Q2" s="7"/>
      <c r="R2" s="7"/>
      <c r="S2" s="26"/>
      <c r="T2" s="26"/>
      <c r="U2" s="26"/>
      <c r="V2" s="26"/>
      <c r="W2" s="26"/>
    </row>
    <row r="3" spans="1:21" s="26" customFormat="1" ht="18.75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O3" s="561" t="s">
        <v>1474</v>
      </c>
      <c r="P3" s="7"/>
      <c r="Q3" s="7"/>
      <c r="R3" s="7"/>
      <c r="S3" s="7"/>
      <c r="T3" s="7"/>
      <c r="U3" s="7"/>
    </row>
    <row r="4" spans="1:22" s="4" customFormat="1" ht="18.75" thickBot="1">
      <c r="A4" s="602" t="s">
        <v>1092</v>
      </c>
      <c r="B4" s="603"/>
      <c r="C4" s="603"/>
      <c r="D4" s="318" t="s">
        <v>1084</v>
      </c>
      <c r="E4" s="318" t="s">
        <v>1080</v>
      </c>
      <c r="F4" s="599" t="str">
        <f>IF(F5="0","7"," ")</f>
        <v>7</v>
      </c>
      <c r="G4" s="599"/>
      <c r="H4" s="318" t="str">
        <f>IF(F5="0","8","7")</f>
        <v>8</v>
      </c>
      <c r="I4" s="318" t="str">
        <f>IF(F5="0","9","8")</f>
        <v>9</v>
      </c>
      <c r="J4" s="318" t="str">
        <f>IF(F5="0","10","9")</f>
        <v>10</v>
      </c>
      <c r="K4" s="318" t="str">
        <f>IF(F5="0","11","10")</f>
        <v>11</v>
      </c>
      <c r="L4" s="599" t="str">
        <f>IF(F5="0","12  13","11  12")</f>
        <v>12  13</v>
      </c>
      <c r="M4" s="606"/>
      <c r="N4" s="606"/>
      <c r="O4" s="606"/>
      <c r="P4" s="318" t="str">
        <f>IF(F5="0","14"," ")</f>
        <v>14</v>
      </c>
      <c r="Q4" s="318" t="str">
        <f>IF(F5="0","15"," ")</f>
        <v>15</v>
      </c>
      <c r="R4" s="318" t="str">
        <f>IF(F5="0","16","13 14 15 ")</f>
        <v>16</v>
      </c>
      <c r="S4" s="318" t="str">
        <f>IF(F5="0","17"," ")</f>
        <v>17</v>
      </c>
      <c r="T4" s="318" t="str">
        <f>IF(F5="0","18","16")</f>
        <v>18</v>
      </c>
      <c r="U4" s="317"/>
      <c r="V4" s="317"/>
    </row>
    <row r="5" spans="1:22" s="4" customFormat="1" ht="18" customHeight="1" hidden="1">
      <c r="A5" s="590" t="s">
        <v>954</v>
      </c>
      <c r="B5" s="591"/>
      <c r="C5" s="591"/>
      <c r="D5" s="106">
        <f>$D$12</f>
        <v>3</v>
      </c>
      <c r="E5" s="107">
        <f>$D$14</f>
        <v>6</v>
      </c>
      <c r="F5" s="597" t="str">
        <f>HLOOKUP('Date Drivers'!$B$1,'Date Drivers'!$B$2:$B$173,172)</f>
        <v>0</v>
      </c>
      <c r="G5" s="598"/>
      <c r="H5" s="106">
        <f>$D$17</f>
        <v>4</v>
      </c>
      <c r="I5" s="108">
        <f>$I$18</f>
        <v>5</v>
      </c>
      <c r="J5" s="108" t="str">
        <f>$D$21</f>
        <v>H</v>
      </c>
      <c r="K5" s="106">
        <f>$D$23</f>
        <v>4</v>
      </c>
      <c r="L5" s="604" t="str">
        <f>VLOOKUP(Codes!$A$2,Codes!$B$3:$C$32,2,FALSE)</f>
        <v>TB</v>
      </c>
      <c r="M5" s="605"/>
      <c r="N5" s="605"/>
      <c r="O5" s="598"/>
      <c r="P5" s="109">
        <f>VLOOKUP(Tendering!$B$17,Database!$A$101:$D$103,3)</f>
        <v>0</v>
      </c>
      <c r="Q5" s="109" t="str">
        <f>VLOOKUP(Tendering!$B$18,Database!$A$106:$D$110,3)</f>
        <v>2</v>
      </c>
      <c r="R5" s="110" t="str">
        <f>VLOOKUP(Database!$E$94,Database!$F$94:$I$105,3)</f>
        <v>E</v>
      </c>
      <c r="S5" s="110" t="str">
        <f>VLOOKUP(Tendering!$B$21,Database!$A$113:$D$116,4)</f>
        <v>0</v>
      </c>
      <c r="T5" s="111" t="str">
        <f>VLOOKUP(Tendering!$B$22,Database!$A$119:$C$126,3)</f>
        <v>5</v>
      </c>
      <c r="U5" s="3"/>
      <c r="V5" s="26"/>
    </row>
    <row r="6" spans="1:22" s="4" customFormat="1" ht="18" hidden="1">
      <c r="A6" s="595" t="s">
        <v>1227</v>
      </c>
      <c r="B6" s="596"/>
      <c r="C6" s="596"/>
      <c r="D6" s="78">
        <f>$D$12</f>
        <v>3</v>
      </c>
      <c r="E6" s="112">
        <f>$D$14</f>
        <v>6</v>
      </c>
      <c r="F6" s="113"/>
      <c r="G6" s="114"/>
      <c r="H6" s="78">
        <f>$D$17</f>
        <v>4</v>
      </c>
      <c r="I6" s="115">
        <f>$I$18</f>
        <v>5</v>
      </c>
      <c r="J6" s="115" t="str">
        <f>$D$21</f>
        <v>H</v>
      </c>
      <c r="K6" s="78">
        <f>$D$23</f>
        <v>4</v>
      </c>
      <c r="L6" s="112" t="str">
        <f>$D$24</f>
        <v>L</v>
      </c>
      <c r="M6" s="112" t="str">
        <f>$D$25</f>
        <v>T</v>
      </c>
      <c r="N6" s="112" t="str">
        <f>$D$26</f>
        <v>H</v>
      </c>
      <c r="O6" s="112" t="str">
        <f>$D$27</f>
        <v>J</v>
      </c>
      <c r="P6" s="116"/>
      <c r="Q6" s="117"/>
      <c r="R6" s="5">
        <f>VLOOKUP(Tendering!$B$19,Database!$A$89:$D$92,4)</f>
        <v>0</v>
      </c>
      <c r="S6" s="5">
        <f>VLOOKUP(Database!$E$94,Database!$F$94:$I$102,4)</f>
        <v>1</v>
      </c>
      <c r="T6" s="118" t="str">
        <f>$D$39</f>
        <v>5</v>
      </c>
      <c r="U6" s="26"/>
      <c r="V6" s="26"/>
    </row>
    <row r="7" spans="1:22" s="4" customFormat="1" ht="18.75" thickBot="1">
      <c r="A7" s="557" t="s">
        <v>1432</v>
      </c>
      <c r="B7" s="607" t="s">
        <v>1433</v>
      </c>
      <c r="C7" s="608"/>
      <c r="D7" s="319">
        <f>D5</f>
        <v>3</v>
      </c>
      <c r="E7" s="319">
        <f>E5</f>
        <v>6</v>
      </c>
      <c r="F7" s="120">
        <v>9</v>
      </c>
      <c r="G7" s="120">
        <v>0</v>
      </c>
      <c r="H7" s="319">
        <f>H5</f>
        <v>4</v>
      </c>
      <c r="I7" s="319">
        <f>I5</f>
        <v>5</v>
      </c>
      <c r="J7" s="319" t="str">
        <f>J5</f>
        <v>H</v>
      </c>
      <c r="K7" s="319">
        <f>K5</f>
        <v>4</v>
      </c>
      <c r="L7" s="320" t="str">
        <f>HLOOKUP('Date Drivers'!$B$1,'Date Drivers'!$B$2:$Z$37,36)</f>
        <v>-312</v>
      </c>
      <c r="M7" s="320" t="str">
        <f>VLOOKUP(Tendering!$B$9,Database!$A$34:$P$36,12)</f>
        <v>-420</v>
      </c>
      <c r="N7" s="320" t="str">
        <f>VLOOKUP(Tendering!$B$23,Database!$A$129:$E$136,3)</f>
        <v>-634</v>
      </c>
      <c r="O7" s="320" t="str">
        <f>VLOOKUP(Tendering!$B$23,Database!$A$129:$E$136,5)</f>
        <v>-737</v>
      </c>
      <c r="P7" s="320">
        <f>VLOOKUP(Tendering!$B$17,Database!$A$101:$D$103,4)</f>
      </c>
      <c r="Q7" s="320" t="str">
        <f>VLOOKUP(Tendering!$B$18,Database!$A$106:$D$110,4)</f>
        <v>-462</v>
      </c>
      <c r="R7" s="320" t="str">
        <f>VLOOKUP(Database!$E$94,Database!$F$94:$I$105,2)</f>
        <v>-921</v>
      </c>
      <c r="S7" s="320">
        <f>VLOOKUP(Tendering!$B$21,Database!$A$113:$D$116,3)</f>
      </c>
      <c r="T7" s="320" t="str">
        <f>VLOOKUP(Tendering!$B$22,Database!$A$119:$D$126,4)</f>
        <v>-805</v>
      </c>
      <c r="U7" s="26"/>
      <c r="V7" s="26"/>
    </row>
    <row r="8" spans="1:22" s="294" customFormat="1" ht="18" customHeight="1" thickBot="1">
      <c r="A8" s="295" t="s">
        <v>1473</v>
      </c>
      <c r="B8" s="296"/>
      <c r="C8" s="296"/>
      <c r="D8" s="292" t="str">
        <f>CONCATENATE("E139",D5,E5,F5,H5,I5,J5,K5,L5,P5,Q5,R5,S5,T5)</f>
        <v>E13936045H4TB02E05</v>
      </c>
      <c r="E8" s="293"/>
      <c r="F8" s="293"/>
      <c r="G8" s="293"/>
      <c r="H8" s="293"/>
      <c r="I8" s="418"/>
      <c r="J8" s="418"/>
      <c r="K8" s="419"/>
      <c r="L8" s="321"/>
      <c r="M8" s="322"/>
      <c r="N8" s="321"/>
      <c r="O8" s="322"/>
      <c r="P8" s="321"/>
      <c r="Q8" s="322"/>
      <c r="R8" s="321"/>
      <c r="S8" s="322"/>
      <c r="T8" s="321"/>
      <c r="U8" s="323"/>
      <c r="V8" s="324"/>
    </row>
    <row r="9" spans="1:22" s="4" customFormat="1" ht="18.75" thickTop="1">
      <c r="A9" s="560" t="s">
        <v>1479</v>
      </c>
      <c r="B9" s="51"/>
      <c r="C9" s="52"/>
      <c r="D9" s="325"/>
      <c r="E9" s="326"/>
      <c r="F9" s="297"/>
      <c r="G9" s="297"/>
      <c r="H9" s="327"/>
      <c r="I9" s="334"/>
      <c r="J9" s="329"/>
      <c r="K9" s="420"/>
      <c r="L9" s="423"/>
      <c r="M9" s="330"/>
      <c r="N9" s="331"/>
      <c r="O9" s="330"/>
      <c r="P9" s="331"/>
      <c r="Q9" s="332"/>
      <c r="R9" s="333"/>
      <c r="S9" s="334"/>
      <c r="T9" s="329"/>
      <c r="U9" s="335"/>
      <c r="V9" s="26"/>
    </row>
    <row r="10" spans="1:22" s="4" customFormat="1" ht="247.5" customHeight="1">
      <c r="A10" s="25"/>
      <c r="B10" s="48"/>
      <c r="C10" s="48"/>
      <c r="D10" s="421"/>
      <c r="E10" s="345"/>
      <c r="F10" s="345"/>
      <c r="G10" s="345"/>
      <c r="H10" s="345"/>
      <c r="I10" s="345"/>
      <c r="J10" s="345"/>
      <c r="K10" s="345"/>
      <c r="L10" s="422"/>
      <c r="M10" s="330"/>
      <c r="N10" s="331"/>
      <c r="O10" s="330"/>
      <c r="P10" s="331"/>
      <c r="Q10" s="332"/>
      <c r="R10" s="333"/>
      <c r="S10" s="334"/>
      <c r="T10" s="329"/>
      <c r="U10" s="335"/>
      <c r="V10" s="26"/>
    </row>
    <row r="11" spans="1:22" s="4" customFormat="1" ht="18">
      <c r="A11" s="68" t="s">
        <v>1428</v>
      </c>
      <c r="B11" s="51"/>
      <c r="C11" s="52"/>
      <c r="D11" s="338"/>
      <c r="E11" s="339"/>
      <c r="F11" s="80"/>
      <c r="G11" s="80"/>
      <c r="H11" s="340"/>
      <c r="I11" s="341"/>
      <c r="J11" s="340"/>
      <c r="K11" s="342"/>
      <c r="L11" s="329"/>
      <c r="M11" s="337"/>
      <c r="N11" s="331"/>
      <c r="O11" s="330"/>
      <c r="P11" s="331"/>
      <c r="Q11" s="332"/>
      <c r="R11" s="333"/>
      <c r="S11" s="334"/>
      <c r="T11" s="329"/>
      <c r="U11" s="335"/>
      <c r="V11" s="26"/>
    </row>
    <row r="12" spans="1:22" s="4" customFormat="1" ht="33" customHeight="1">
      <c r="A12" s="25"/>
      <c r="B12" s="48"/>
      <c r="C12" s="48"/>
      <c r="D12" s="343">
        <f>VLOOKUP(Tendering!$B$9,Database!$A$34:$C$36,3)</f>
        <v>3</v>
      </c>
      <c r="E12" s="344"/>
      <c r="F12" s="344"/>
      <c r="G12" s="344"/>
      <c r="H12" s="345"/>
      <c r="I12" s="345"/>
      <c r="J12" s="345"/>
      <c r="K12" s="345"/>
      <c r="L12" s="346"/>
      <c r="M12" s="347"/>
      <c r="N12" s="331"/>
      <c r="O12" s="330"/>
      <c r="P12" s="331"/>
      <c r="Q12" s="332"/>
      <c r="R12" s="333"/>
      <c r="S12" s="334"/>
      <c r="T12" s="329"/>
      <c r="U12" s="335"/>
      <c r="V12" s="26"/>
    </row>
    <row r="13" spans="1:22" s="4" customFormat="1" ht="15.75" customHeight="1">
      <c r="A13" s="68" t="s">
        <v>1420</v>
      </c>
      <c r="B13" s="49"/>
      <c r="C13" s="50"/>
      <c r="D13" s="348"/>
      <c r="E13" s="336"/>
      <c r="F13" s="76"/>
      <c r="G13" s="76"/>
      <c r="H13" s="327"/>
      <c r="I13" s="328"/>
      <c r="J13" s="327"/>
      <c r="K13" s="328"/>
      <c r="L13" s="329"/>
      <c r="M13" s="330"/>
      <c r="N13" s="331"/>
      <c r="O13" s="330"/>
      <c r="P13" s="331"/>
      <c r="Q13" s="332"/>
      <c r="R13" s="333"/>
      <c r="S13" s="334"/>
      <c r="T13" s="329"/>
      <c r="U13" s="335"/>
      <c r="V13" s="26"/>
    </row>
    <row r="14" spans="1:22" s="4" customFormat="1" ht="43.5" customHeight="1">
      <c r="A14" s="25"/>
      <c r="B14" s="48"/>
      <c r="C14" s="48"/>
      <c r="D14" s="349">
        <f>VLOOKUP(Tendering!$B$10,Database!$A$39:$C$46,3)</f>
        <v>6</v>
      </c>
      <c r="E14" s="350"/>
      <c r="F14" s="76"/>
      <c r="G14" s="76"/>
      <c r="H14" s="329"/>
      <c r="I14" s="334"/>
      <c r="J14" s="329"/>
      <c r="K14" s="334"/>
      <c r="L14" s="329"/>
      <c r="M14" s="330"/>
      <c r="N14" s="331"/>
      <c r="O14" s="330"/>
      <c r="P14" s="331"/>
      <c r="Q14" s="332"/>
      <c r="R14" s="333"/>
      <c r="S14" s="334"/>
      <c r="T14" s="329"/>
      <c r="U14" s="335"/>
      <c r="V14" s="26"/>
    </row>
    <row r="15" spans="1:22" s="4" customFormat="1" ht="26.25" customHeight="1">
      <c r="A15" s="592" t="s">
        <v>1437</v>
      </c>
      <c r="B15" s="593"/>
      <c r="C15" s="594"/>
      <c r="D15" s="77">
        <v>9</v>
      </c>
      <c r="E15" s="79"/>
      <c r="F15" s="80"/>
      <c r="G15" s="81"/>
      <c r="H15" s="329"/>
      <c r="I15" s="334"/>
      <c r="J15" s="329"/>
      <c r="K15" s="334"/>
      <c r="L15" s="329"/>
      <c r="M15" s="330"/>
      <c r="N15" s="331"/>
      <c r="O15" s="330"/>
      <c r="P15" s="331"/>
      <c r="Q15" s="332"/>
      <c r="R15" s="333"/>
      <c r="S15" s="334"/>
      <c r="T15" s="329"/>
      <c r="U15" s="335"/>
      <c r="V15" s="26"/>
    </row>
    <row r="16" spans="1:22" ht="15.75">
      <c r="A16" s="69" t="s">
        <v>1412</v>
      </c>
      <c r="B16" s="49"/>
      <c r="C16" s="50"/>
      <c r="D16" s="351"/>
      <c r="E16" s="351"/>
      <c r="F16" s="351"/>
      <c r="G16" s="351"/>
      <c r="H16" s="351"/>
      <c r="I16" s="352"/>
      <c r="J16" s="353"/>
      <c r="K16" s="352"/>
      <c r="L16" s="353"/>
      <c r="M16" s="352"/>
      <c r="N16" s="353"/>
      <c r="O16" s="352"/>
      <c r="P16" s="353"/>
      <c r="Q16" s="354"/>
      <c r="R16" s="351"/>
      <c r="S16" s="352"/>
      <c r="T16" s="353"/>
      <c r="U16" s="355"/>
      <c r="V16" s="7"/>
    </row>
    <row r="17" spans="1:22" ht="31.5" customHeight="1">
      <c r="A17" s="587"/>
      <c r="B17" s="588"/>
      <c r="C17" s="589"/>
      <c r="D17" s="349">
        <f>VLOOKUP(Tendering!B12,Database!A49:C52,3)</f>
        <v>4</v>
      </c>
      <c r="E17" s="356"/>
      <c r="F17" s="356"/>
      <c r="G17" s="356"/>
      <c r="H17" s="357"/>
      <c r="I17" s="352"/>
      <c r="J17" s="353"/>
      <c r="K17" s="352"/>
      <c r="L17" s="353"/>
      <c r="M17" s="352"/>
      <c r="N17" s="353"/>
      <c r="O17" s="352"/>
      <c r="P17" s="353"/>
      <c r="Q17" s="354"/>
      <c r="R17" s="351"/>
      <c r="S17" s="352"/>
      <c r="T17" s="353"/>
      <c r="U17" s="355"/>
      <c r="V17" s="7"/>
    </row>
    <row r="18" spans="1:22" ht="18">
      <c r="A18" s="69" t="s">
        <v>1410</v>
      </c>
      <c r="B18" s="57"/>
      <c r="C18" s="58"/>
      <c r="D18" s="358"/>
      <c r="E18" s="358"/>
      <c r="F18" s="358"/>
      <c r="G18" s="358"/>
      <c r="H18" s="358"/>
      <c r="I18" s="349">
        <f>VLOOKUP(Tendering!B13,Database!A55:C56,3)</f>
        <v>5</v>
      </c>
      <c r="J18" s="353"/>
      <c r="K18" s="352"/>
      <c r="L18" s="353"/>
      <c r="M18" s="352"/>
      <c r="N18" s="353"/>
      <c r="O18" s="352"/>
      <c r="P18" s="353"/>
      <c r="Q18" s="354"/>
      <c r="R18" s="351"/>
      <c r="S18" s="352"/>
      <c r="T18" s="353"/>
      <c r="U18" s="355"/>
      <c r="V18" s="7"/>
    </row>
    <row r="19" spans="1:22" ht="21.75" customHeight="1">
      <c r="A19" s="67"/>
      <c r="B19" s="57"/>
      <c r="C19" s="58"/>
      <c r="E19" s="254"/>
      <c r="F19" s="253"/>
      <c r="G19" s="253"/>
      <c r="H19" s="253"/>
      <c r="J19" s="353"/>
      <c r="K19" s="352"/>
      <c r="L19" s="353"/>
      <c r="M19" s="352"/>
      <c r="N19" s="353"/>
      <c r="O19" s="352"/>
      <c r="P19" s="353"/>
      <c r="Q19" s="354"/>
      <c r="R19" s="351"/>
      <c r="S19" s="352"/>
      <c r="T19" s="353"/>
      <c r="U19" s="355"/>
      <c r="V19" s="7"/>
    </row>
    <row r="20" spans="1:22" ht="15.75">
      <c r="A20" s="69" t="s">
        <v>1407</v>
      </c>
      <c r="B20" s="49"/>
      <c r="C20" s="50"/>
      <c r="D20" s="359"/>
      <c r="E20" s="351"/>
      <c r="F20" s="351"/>
      <c r="G20" s="351"/>
      <c r="H20" s="351"/>
      <c r="I20" s="351"/>
      <c r="J20" s="351"/>
      <c r="K20" s="352"/>
      <c r="L20" s="353"/>
      <c r="M20" s="352"/>
      <c r="N20" s="353"/>
      <c r="O20" s="352"/>
      <c r="P20" s="353"/>
      <c r="Q20" s="354"/>
      <c r="R20" s="351"/>
      <c r="S20" s="352"/>
      <c r="T20" s="353"/>
      <c r="U20" s="355"/>
      <c r="V20" s="7"/>
    </row>
    <row r="21" spans="1:22" ht="99" customHeight="1">
      <c r="A21" s="6"/>
      <c r="B21" s="7"/>
      <c r="C21" s="7"/>
      <c r="D21" s="349" t="str">
        <f>Database!E58</f>
        <v>H</v>
      </c>
      <c r="E21" s="360"/>
      <c r="F21" s="356"/>
      <c r="G21" s="356"/>
      <c r="H21" s="356"/>
      <c r="I21" s="356"/>
      <c r="J21" s="356"/>
      <c r="K21" s="352"/>
      <c r="L21" s="353"/>
      <c r="M21" s="352"/>
      <c r="N21" s="353"/>
      <c r="O21" s="352"/>
      <c r="P21" s="353"/>
      <c r="Q21" s="354"/>
      <c r="R21" s="351"/>
      <c r="S21" s="352"/>
      <c r="T21" s="353"/>
      <c r="U21" s="355"/>
      <c r="V21" s="7"/>
    </row>
    <row r="22" spans="1:22" ht="15.75">
      <c r="A22" s="69" t="s">
        <v>1400</v>
      </c>
      <c r="B22" s="49"/>
      <c r="C22" s="50"/>
      <c r="D22" s="361"/>
      <c r="E22" s="358"/>
      <c r="F22" s="358"/>
      <c r="G22" s="358"/>
      <c r="H22" s="358"/>
      <c r="I22" s="358"/>
      <c r="J22" s="358"/>
      <c r="K22" s="358"/>
      <c r="L22" s="353"/>
      <c r="M22" s="352"/>
      <c r="N22" s="353"/>
      <c r="O22" s="352"/>
      <c r="P22" s="353"/>
      <c r="Q22" s="354"/>
      <c r="R22" s="351"/>
      <c r="S22" s="352"/>
      <c r="T22" s="353"/>
      <c r="U22" s="355"/>
      <c r="V22" s="7"/>
    </row>
    <row r="23" spans="1:22" ht="161.25" customHeight="1">
      <c r="A23" s="587"/>
      <c r="B23" s="588"/>
      <c r="C23" s="589"/>
      <c r="D23" s="349">
        <f>Database!$S$69</f>
        <v>4</v>
      </c>
      <c r="E23" s="254"/>
      <c r="F23" s="253"/>
      <c r="G23" s="253"/>
      <c r="H23" s="253"/>
      <c r="I23" s="253"/>
      <c r="J23" s="253"/>
      <c r="K23" s="362"/>
      <c r="L23" s="360"/>
      <c r="M23" s="254"/>
      <c r="N23" s="360"/>
      <c r="O23" s="363"/>
      <c r="P23" s="353"/>
      <c r="Q23" s="354"/>
      <c r="R23" s="351"/>
      <c r="S23" s="352"/>
      <c r="T23" s="353"/>
      <c r="U23" s="355"/>
      <c r="V23" s="7"/>
    </row>
    <row r="24" spans="1:22" ht="18" hidden="1">
      <c r="A24" s="67" t="s">
        <v>1205</v>
      </c>
      <c r="B24" s="57"/>
      <c r="C24" s="58"/>
      <c r="D24" s="349" t="str">
        <f>HLOOKUP('Date Drivers'!$B$1,'Date Drivers'!$B$2:$Z$37,35)</f>
        <v>L</v>
      </c>
      <c r="E24" s="360"/>
      <c r="F24" s="356"/>
      <c r="G24" s="356"/>
      <c r="H24" s="356"/>
      <c r="I24" s="356"/>
      <c r="J24" s="356"/>
      <c r="K24" s="356"/>
      <c r="L24" s="356"/>
      <c r="M24" s="352"/>
      <c r="N24" s="353"/>
      <c r="O24" s="352"/>
      <c r="P24" s="353"/>
      <c r="Q24" s="354"/>
      <c r="R24" s="351"/>
      <c r="S24" s="352"/>
      <c r="T24" s="353"/>
      <c r="U24" s="355"/>
      <c r="V24" s="7"/>
    </row>
    <row r="25" spans="1:22" ht="18" hidden="1">
      <c r="A25" s="67" t="s">
        <v>1097</v>
      </c>
      <c r="B25" s="57"/>
      <c r="C25" s="58"/>
      <c r="D25" s="364" t="str">
        <f>VLOOKUP(Tendering!$B$9,Database!$A$34:$P$36,13)</f>
        <v>T</v>
      </c>
      <c r="E25" s="254"/>
      <c r="F25" s="253"/>
      <c r="G25" s="253"/>
      <c r="H25" s="253"/>
      <c r="I25" s="253"/>
      <c r="J25" s="253"/>
      <c r="K25" s="253"/>
      <c r="L25" s="253"/>
      <c r="M25" s="253"/>
      <c r="N25" s="353"/>
      <c r="O25" s="352"/>
      <c r="P25" s="353"/>
      <c r="Q25" s="354"/>
      <c r="R25" s="351"/>
      <c r="S25" s="352"/>
      <c r="T25" s="353"/>
      <c r="U25" s="355"/>
      <c r="V25" s="7"/>
    </row>
    <row r="26" spans="1:22" ht="18" hidden="1">
      <c r="A26" s="67" t="s">
        <v>1098</v>
      </c>
      <c r="B26" s="57"/>
      <c r="C26" s="58"/>
      <c r="D26" s="365" t="str">
        <f>VLOOKUP(Tendering!$B$23,Database!$A$129:$E$136,2)</f>
        <v>H</v>
      </c>
      <c r="E26" s="360"/>
      <c r="F26" s="356"/>
      <c r="G26" s="356"/>
      <c r="H26" s="356"/>
      <c r="I26" s="356"/>
      <c r="J26" s="356"/>
      <c r="K26" s="356"/>
      <c r="L26" s="356"/>
      <c r="M26" s="356"/>
      <c r="N26" s="356"/>
      <c r="O26" s="352"/>
      <c r="P26" s="353"/>
      <c r="Q26" s="354"/>
      <c r="R26" s="351"/>
      <c r="S26" s="352"/>
      <c r="T26" s="353"/>
      <c r="U26" s="355"/>
      <c r="V26" s="7"/>
    </row>
    <row r="27" spans="1:22" ht="18" hidden="1">
      <c r="A27" s="67" t="s">
        <v>1204</v>
      </c>
      <c r="B27" s="57"/>
      <c r="C27" s="58"/>
      <c r="D27" s="364" t="str">
        <f>VLOOKUP(Tendering!$B$23,Database!$A$129:$E$136,4)</f>
        <v>J</v>
      </c>
      <c r="E27" s="254"/>
      <c r="F27" s="253"/>
      <c r="G27" s="253"/>
      <c r="H27" s="253"/>
      <c r="I27" s="253"/>
      <c r="J27" s="253"/>
      <c r="K27" s="253"/>
      <c r="L27" s="253"/>
      <c r="M27" s="253"/>
      <c r="N27" s="253"/>
      <c r="O27" s="362"/>
      <c r="P27" s="353"/>
      <c r="Q27" s="354"/>
      <c r="R27" s="351"/>
      <c r="S27" s="352"/>
      <c r="T27" s="353"/>
      <c r="U27" s="355"/>
      <c r="V27" s="7"/>
    </row>
    <row r="28" spans="1:22" ht="18">
      <c r="A28" s="69" t="s">
        <v>1457</v>
      </c>
      <c r="B28" s="57"/>
      <c r="C28" s="58"/>
      <c r="D28" s="366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4"/>
      <c r="R28" s="351"/>
      <c r="S28" s="352"/>
      <c r="T28" s="353"/>
      <c r="U28" s="355"/>
      <c r="V28" s="7"/>
    </row>
    <row r="29" spans="1:22" ht="33" customHeight="1">
      <c r="A29" s="67"/>
      <c r="B29" s="57"/>
      <c r="C29" s="58"/>
      <c r="D29" s="349">
        <f>VLOOKUP(Tendering!$B$17,Database!$A$101:$D$103,3)</f>
        <v>0</v>
      </c>
      <c r="E29" s="360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4"/>
      <c r="R29" s="351"/>
      <c r="S29" s="352"/>
      <c r="T29" s="353"/>
      <c r="U29" s="355"/>
      <c r="V29" s="7"/>
    </row>
    <row r="30" spans="1:22" ht="18">
      <c r="A30" s="69" t="s">
        <v>1378</v>
      </c>
      <c r="B30" s="57"/>
      <c r="C30" s="58"/>
      <c r="D30" s="367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9"/>
      <c r="R30" s="351"/>
      <c r="S30" s="352"/>
      <c r="T30" s="353"/>
      <c r="U30" s="355"/>
      <c r="V30" s="7"/>
    </row>
    <row r="31" spans="1:22" ht="51.75" customHeight="1">
      <c r="A31" s="67"/>
      <c r="B31" s="57"/>
      <c r="C31" s="58"/>
      <c r="D31" s="370" t="str">
        <f>VLOOKUP(Tendering!$B$18,Database!$A$106:$D$110,3)</f>
        <v>2</v>
      </c>
      <c r="E31" s="254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62"/>
      <c r="R31" s="351"/>
      <c r="S31" s="352"/>
      <c r="T31" s="353"/>
      <c r="U31" s="355"/>
      <c r="V31" s="7"/>
    </row>
    <row r="32" spans="1:22" ht="15.75">
      <c r="A32" s="69" t="s">
        <v>1368</v>
      </c>
      <c r="B32" s="49"/>
      <c r="C32" s="50"/>
      <c r="D32" s="371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51"/>
      <c r="S32" s="352"/>
      <c r="T32" s="353"/>
      <c r="U32" s="355"/>
      <c r="V32" s="7"/>
    </row>
    <row r="33" spans="1:22" ht="43.5" customHeight="1">
      <c r="A33" s="6"/>
      <c r="B33" s="7"/>
      <c r="C33" s="7"/>
      <c r="D33" s="373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2"/>
      <c r="T33" s="353"/>
      <c r="U33" s="355"/>
      <c r="V33" s="7"/>
    </row>
    <row r="34" spans="1:22" ht="18">
      <c r="A34" s="558" t="s">
        <v>1458</v>
      </c>
      <c r="B34" s="49"/>
      <c r="C34" s="50"/>
      <c r="D34" s="374" t="str">
        <f>VLOOKUP(Database!$E$94,Database!$F$94:$I$105,3)</f>
        <v>E</v>
      </c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75"/>
      <c r="S34" s="358"/>
      <c r="T34" s="353"/>
      <c r="U34" s="355"/>
      <c r="V34" s="7"/>
    </row>
    <row r="35" spans="1:22" ht="43.5" customHeight="1">
      <c r="A35" s="45"/>
      <c r="B35" s="47"/>
      <c r="C35" s="47"/>
      <c r="D35" s="37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7"/>
      <c r="S35" s="358"/>
      <c r="T35" s="353"/>
      <c r="U35" s="355"/>
      <c r="V35" s="7"/>
    </row>
    <row r="36" spans="1:22" ht="18">
      <c r="A36" s="69" t="s">
        <v>1348</v>
      </c>
      <c r="B36" s="49"/>
      <c r="C36" s="50"/>
      <c r="D36" s="377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69"/>
      <c r="T36" s="351"/>
      <c r="U36" s="355"/>
      <c r="V36" s="7"/>
    </row>
    <row r="37" spans="1:22" ht="51" customHeight="1">
      <c r="A37" s="45"/>
      <c r="B37" s="47"/>
      <c r="C37" s="50"/>
      <c r="D37" s="378" t="str">
        <f>VLOOKUP(Tendering!$B$21,Database!$A$113:$D$116,4)</f>
        <v>0</v>
      </c>
      <c r="E37" s="254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62"/>
      <c r="T37" s="351"/>
      <c r="U37" s="355"/>
      <c r="V37" s="7"/>
    </row>
    <row r="38" spans="1:22" ht="15.75">
      <c r="A38" s="69" t="s">
        <v>1342</v>
      </c>
      <c r="B38" s="49"/>
      <c r="C38" s="50"/>
      <c r="D38" s="371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51"/>
      <c r="U38" s="355"/>
      <c r="V38" s="7"/>
    </row>
    <row r="39" spans="1:22" ht="81" customHeight="1">
      <c r="A39" s="6"/>
      <c r="B39" s="7"/>
      <c r="C39" s="7"/>
      <c r="D39" s="349" t="str">
        <f>VLOOKUP(Tendering!$B$22,Database!$A$119:$C$126,3)</f>
        <v>5</v>
      </c>
      <c r="E39" s="360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5"/>
      <c r="V39" s="7"/>
    </row>
    <row r="40" spans="1:22" ht="12.75">
      <c r="A40" s="7"/>
      <c r="B40" s="7"/>
      <c r="C40" s="7"/>
      <c r="D40" s="7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7"/>
    </row>
    <row r="41" spans="1:2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</sheetData>
  <sheetProtection password="DFED" sheet="1"/>
  <mergeCells count="12">
    <mergeCell ref="M1:N1"/>
    <mergeCell ref="A17:C17"/>
    <mergeCell ref="A4:C4"/>
    <mergeCell ref="L5:O5"/>
    <mergeCell ref="L4:O4"/>
    <mergeCell ref="B7:C7"/>
    <mergeCell ref="A23:C23"/>
    <mergeCell ref="A5:C5"/>
    <mergeCell ref="A15:C15"/>
    <mergeCell ref="A6:C6"/>
    <mergeCell ref="F5:G5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53" r:id="rId2"/>
  <headerFooter alignWithMargins="0">
    <oddHeader>&amp;C&amp;F</oddHeader>
    <oddFooter>&amp;LPage &amp;P&amp;C&amp;F&amp;R&amp;D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30"/>
  <sheetViews>
    <sheetView showGridLines="0" showRowColHeaders="0"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A24" sqref="A24:C24"/>
    </sheetView>
  </sheetViews>
  <sheetFormatPr defaultColWidth="9.140625" defaultRowHeight="12.75"/>
  <cols>
    <col min="1" max="1" width="9.57421875" style="7" customWidth="1"/>
    <col min="2" max="2" width="3.57421875" style="7" customWidth="1"/>
    <col min="3" max="3" width="102.7109375" style="7" customWidth="1"/>
    <col min="4" max="16384" width="9.140625" style="7" customWidth="1"/>
  </cols>
  <sheetData>
    <row r="1" ht="15">
      <c r="A1" s="287" t="str">
        <f>TRIM(CONCATENATE("P139-",Configurator!$D$7,Configurator!$E$7,Configurator!$F$7,Configurator!$G$7,Configurator!$H$7,Configurator!$I$7,Configurator!$J$7,Configurator!$K$7,Configurator!$L$7,Configurator!$M$7,Configurator!$N$7,Configurator!$O$7,Configurator!$P$7,Configurator!$Q$7,Configurator!$R$7,Configurator!$S$7,Configurator!$T$7))</f>
        <v>P139-369045H4-312-420-634-737-462-921-805</v>
      </c>
    </row>
    <row r="2" ht="15">
      <c r="A2" s="287"/>
    </row>
    <row r="3" ht="12.75">
      <c r="A3" s="7" t="str">
        <f>Configurator!A7</f>
        <v>Терминал токовой защиты и управления</v>
      </c>
    </row>
    <row r="5" spans="1:2" ht="12.75">
      <c r="A5" s="270" t="str">
        <f>Configurator!A11</f>
        <v>Базовая комплектация:</v>
      </c>
      <c r="B5" s="271"/>
    </row>
    <row r="6" spans="1:3" ht="28.5" customHeight="1">
      <c r="A6" s="609" t="str">
        <f>CONCATENATE("  ",VLOOKUP(Tendering!$B$9,Database!$A$34:$B$36,2),", ",HLOOKUP('Date Drivers'!$B$1,'Date Drivers'!$B$2:$Z$206,205),HLOOKUP('Date Drivers'!$B$1,'Date Drivers'!$B$2:$Z$207,206),HLOOKUP('Date Drivers'!$B$1,'Date Drivers'!$B$2:$Z$210,207),HLOOKUP('Date Drivers'!$B$1,'Date Drivers'!$B$2:$Z$209,208))</f>
        <v>  Корпус 40TE,  подключение под фастон, базовая конфигурация с  4  дискретными входами, 8 выходными реле и 6 дискретными входами and 6 выходными реле (2-pole) для  (2-pole) управления 3-мя распределительными устройствами</v>
      </c>
      <c r="B6" s="609"/>
      <c r="C6" s="609"/>
    </row>
    <row r="7" spans="1:2" ht="12.75">
      <c r="A7" s="7" t="str">
        <f>Configurator!A13</f>
        <v>Тип мотажа и тип дисплея:</v>
      </c>
      <c r="B7" s="288"/>
    </row>
    <row r="8" spans="1:3" ht="12.75" customHeight="1">
      <c r="A8" s="609" t="str">
        <f>CONCATENATE("  ",VLOOKUP(Tendering!$B$10,Database!$A$39:$B$46,2))</f>
        <v>  Утопленный с задним подключением</v>
      </c>
      <c r="B8" s="609"/>
      <c r="C8" s="609"/>
    </row>
    <row r="9" spans="1:2" ht="12.75">
      <c r="A9" s="7" t="str">
        <f>Configurator!A16</f>
        <v>Цепи напряжения:</v>
      </c>
      <c r="B9" s="288"/>
    </row>
    <row r="10" spans="1:3" ht="12.75" customHeight="1">
      <c r="A10" s="609" t="str">
        <f>CONCATENATE("  ",VLOOKUP(Tendering!$B$12,Database!$A$49:$B$52,2))</f>
        <v>  Vnom = 50 ... 130 V (4-pole)</v>
      </c>
      <c r="B10" s="609"/>
      <c r="C10" s="609"/>
    </row>
    <row r="11" spans="1:2" ht="12.75">
      <c r="A11" s="7" t="s">
        <v>1415</v>
      </c>
      <c r="B11" s="288"/>
    </row>
    <row r="12" spans="1:3" ht="12.75">
      <c r="A12" s="286" t="s">
        <v>79</v>
      </c>
      <c r="C12" s="286"/>
    </row>
    <row r="13" spans="1:2" ht="12.75">
      <c r="A13" s="7" t="str">
        <f>Configurator!A18</f>
        <v>Дополнительные модули входов/выходов:</v>
      </c>
      <c r="B13" s="288"/>
    </row>
    <row r="14" spans="1:3" ht="12.75" customHeight="1">
      <c r="A14" s="609" t="str">
        <f>CONCATENATE("  ",VLOOKUP(Tendering!$B$13,Database!$A$55:$B$56,2))</f>
        <v>  1 модуль входов/выходов ( 6 дискретных входов/6 выходов) (2-pole)) для управления 3-мя  дополнительными распределительными устройствами</v>
      </c>
      <c r="B14" s="609"/>
      <c r="C14" s="609"/>
    </row>
    <row r="15" spans="1:2" ht="12.75">
      <c r="A15" s="7" t="str">
        <f>Configurator!A20</f>
        <v>Напряжение питания и дополнительные опции:</v>
      </c>
      <c r="B15" s="288"/>
    </row>
    <row r="16" spans="1:3" ht="12.75" customHeight="1">
      <c r="A16" s="609" t="str">
        <f>CONCATENATE("  ",VLOOKUP(Tendering!$B$14,Database!$A$59:$B$68,2))</f>
        <v>  60 ... 250 VDC / 100 ... 230 VAC и 6 релейных выходов</v>
      </c>
      <c r="B16" s="609"/>
      <c r="C16" s="609"/>
    </row>
    <row r="17" spans="1:2" ht="12.75">
      <c r="A17" s="7" t="str">
        <f>Configurator!A22</f>
        <v>Дополнительные опции:</v>
      </c>
      <c r="B17" s="288"/>
    </row>
    <row r="18" spans="1:3" ht="12.75" customHeight="1">
      <c r="A18" s="609" t="str">
        <f>CONCATENATE("  ",VLOOKUP(Tendering!$B$15,Database!$A$71:$B$86,2))</f>
        <v>  24 дискретных входа </v>
      </c>
      <c r="B18" s="609"/>
      <c r="C18" s="609"/>
    </row>
    <row r="19" spans="1:2" ht="12.75">
      <c r="A19" s="7" t="str">
        <f>CONCATENATE(Configurator!$A$28," :")</f>
        <v>Модули с (1-pole) сильноточным контактом:  :</v>
      </c>
      <c r="B19" s="288"/>
    </row>
    <row r="20" spans="1:3" ht="12.75" customHeight="1">
      <c r="A20" s="609" t="str">
        <f>CONCATENATE("  ",VLOOKUP(Tendering!$B$17,Database!$A$101:$B$103,2))</f>
        <v>  Два модуля без сильноточных контактов</v>
      </c>
      <c r="B20" s="609"/>
      <c r="C20" s="609"/>
    </row>
    <row r="21" spans="1:2" ht="12.75">
      <c r="A21" s="7" t="str">
        <f>Configurator!A30</f>
        <v>Напряжение срабатывания входов:</v>
      </c>
      <c r="B21" s="288"/>
    </row>
    <row r="22" spans="1:3" ht="12.75" customHeight="1">
      <c r="A22" s="609" t="str">
        <f>CONCATENATE("  ",VLOOKUP(Tendering!$B$18,Database!$A$106:$B$110,2))</f>
        <v>  &gt;155V (60 to 70% of Vnom = 220 to 250V)</v>
      </c>
      <c r="B22" s="609"/>
      <c r="C22" s="609"/>
    </row>
    <row r="23" spans="1:2" ht="12.75">
      <c r="A23" s="289" t="str">
        <f>Configurator!A32</f>
        <v>С коммуникационным/информационным интерфейсом:</v>
      </c>
      <c r="B23" s="290"/>
    </row>
    <row r="24" spans="1:3" ht="25.5" customHeight="1">
      <c r="A24" s="609" t="str">
        <f>CONCATENATE("  ",VLOOKUP(Tendering!$B$19,Database!$A$89:$B$92,2)," ",VLOOKUP(Tendering!$B$20,Database!$A$95:$B$98,2))</f>
        <v>  Протокол для переключения между: IEC 60870-5-101/-103, Modbus, DNP3, Courier и плата IRIG-B для синхронизации по времени и 2ой задний порт связи связи (RS485, IEC 60870-5-103)  порт RS485 (изолированный)</v>
      </c>
      <c r="B24" s="609"/>
      <c r="C24" s="609"/>
    </row>
    <row r="25" spans="1:2" ht="12.75">
      <c r="A25" s="270" t="str">
        <f>Configurator!A36</f>
        <v>С защитным интерфейсом </v>
      </c>
      <c r="B25" s="271"/>
    </row>
    <row r="26" spans="1:3" ht="12.75" customHeight="1">
      <c r="A26" s="609" t="str">
        <f>CONCATENATE("  ",VLOOKUP(Tendering!$B$21,Database!$A$113:$B$116,2))</f>
        <v>  Нет</v>
      </c>
      <c r="B26" s="609"/>
      <c r="C26" s="609"/>
    </row>
    <row r="27" spans="1:2" ht="12.75">
      <c r="A27" s="7" t="str">
        <f>Configurator!A38</f>
        <v>Язык:</v>
      </c>
      <c r="B27" s="288"/>
    </row>
    <row r="28" spans="1:3" ht="12.75" customHeight="1">
      <c r="A28" s="609" t="str">
        <f>CONCATENATE("  ",VLOOKUP(Tendering!$B$22,Database!$A$119:$B$126,2))</f>
        <v>  Русский (Английский)</v>
      </c>
      <c r="B28" s="609"/>
      <c r="C28" s="609"/>
    </row>
    <row r="30" ht="12.75">
      <c r="A30" s="7" t="s">
        <v>676</v>
      </c>
    </row>
  </sheetData>
  <sheetProtection/>
  <mergeCells count="11">
    <mergeCell ref="A26:C26"/>
    <mergeCell ref="A28:C28"/>
    <mergeCell ref="A16:C16"/>
    <mergeCell ref="A18:C18"/>
    <mergeCell ref="A20:C20"/>
    <mergeCell ref="A22:C22"/>
    <mergeCell ref="A6:C6"/>
    <mergeCell ref="A8:C8"/>
    <mergeCell ref="A10:C10"/>
    <mergeCell ref="A14:C14"/>
    <mergeCell ref="A24:C24"/>
  </mergeCells>
  <printOptions/>
  <pageMargins left="0.18" right="0.08" top="0.36" bottom="0.38" header="0.16" footer="0.17"/>
  <pageSetup fitToHeight="0" fitToWidth="1" horizontalDpi="600" verticalDpi="600" orientation="portrait" paperSize="9" scale="87" r:id="rId1"/>
  <headerFooter alignWithMargins="0">
    <oddHeader>&amp;C&amp;F</oddHeader>
    <oddFooter>&amp;LPage &amp;P&amp;C&amp;F&amp;R&amp;D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31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28125" style="387" customWidth="1"/>
    <col min="2" max="2" width="26.421875" style="397" customWidth="1"/>
    <col min="3" max="26" width="2.8515625" style="395" customWidth="1"/>
    <col min="27" max="27" width="23.00390625" style="387" customWidth="1"/>
    <col min="28" max="16384" width="11.421875" style="387" customWidth="1"/>
  </cols>
  <sheetData>
    <row r="1" spans="1:28" ht="17.25" customHeight="1">
      <c r="A1" s="384"/>
      <c r="B1" s="385"/>
      <c r="C1" s="386">
        <f aca="true" t="shared" si="0" ref="C1:Z1">IF(C3&lt;&gt;"",COLUMN(C$1:C$65536)-2,"")</f>
        <v>1</v>
      </c>
      <c r="D1" s="386">
        <f t="shared" si="0"/>
        <v>2</v>
      </c>
      <c r="E1" s="386">
        <f t="shared" si="0"/>
        <v>3</v>
      </c>
      <c r="F1" s="386">
        <f t="shared" si="0"/>
        <v>4</v>
      </c>
      <c r="G1" s="386">
        <f t="shared" si="0"/>
        <v>5</v>
      </c>
      <c r="H1" s="386">
        <f t="shared" si="0"/>
        <v>6</v>
      </c>
      <c r="I1" s="386">
        <f t="shared" si="0"/>
        <v>7</v>
      </c>
      <c r="J1" s="386">
        <f t="shared" si="0"/>
        <v>8</v>
      </c>
      <c r="K1" s="386">
        <f t="shared" si="0"/>
        <v>9</v>
      </c>
      <c r="L1" s="386">
        <f t="shared" si="0"/>
        <v>10</v>
      </c>
      <c r="M1" s="386">
        <f t="shared" si="0"/>
        <v>11</v>
      </c>
      <c r="N1" s="386">
        <f t="shared" si="0"/>
        <v>12</v>
      </c>
      <c r="O1" s="386">
        <f t="shared" si="0"/>
        <v>13</v>
      </c>
      <c r="P1" s="386">
        <f t="shared" si="0"/>
        <v>14</v>
      </c>
      <c r="Q1" s="386">
        <f t="shared" si="0"/>
        <v>15</v>
      </c>
      <c r="R1" s="386">
        <f t="shared" si="0"/>
        <v>16</v>
      </c>
      <c r="S1" s="386">
        <f t="shared" si="0"/>
        <v>17</v>
      </c>
      <c r="T1" s="386">
        <f t="shared" si="0"/>
        <v>18</v>
      </c>
      <c r="U1" s="386">
        <f t="shared" si="0"/>
      </c>
      <c r="V1" s="386">
        <f t="shared" si="0"/>
      </c>
      <c r="W1" s="386">
        <f t="shared" si="0"/>
      </c>
      <c r="X1" s="386">
        <f t="shared" si="0"/>
      </c>
      <c r="Y1" s="386">
        <f t="shared" si="0"/>
      </c>
      <c r="Z1" s="386">
        <f t="shared" si="0"/>
      </c>
      <c r="AA1" s="386">
        <f>MAX(C1:Z1,AB1)</f>
        <v>20</v>
      </c>
      <c r="AB1" s="386">
        <f>MAX(AB5:AB31)-4</f>
        <v>20</v>
      </c>
    </row>
    <row r="2" spans="1:27" ht="13.5" thickBot="1">
      <c r="A2" s="388" t="s">
        <v>616</v>
      </c>
      <c r="B2" s="389" t="s">
        <v>1289</v>
      </c>
      <c r="C2" s="390" t="str">
        <f aca="true" t="shared" si="1" ref="C2:AA2">MID($B$2,COLUMN(C$1:C$65536)-2,1)</f>
        <v>P</v>
      </c>
      <c r="D2" s="390" t="str">
        <f t="shared" si="1"/>
        <v>1</v>
      </c>
      <c r="E2" s="390" t="str">
        <f t="shared" si="1"/>
        <v>3</v>
      </c>
      <c r="F2" s="390" t="str">
        <f t="shared" si="1"/>
        <v>9</v>
      </c>
      <c r="G2" s="390" t="str">
        <f t="shared" si="1"/>
        <v>3</v>
      </c>
      <c r="H2" s="390" t="str">
        <f t="shared" si="1"/>
        <v>5</v>
      </c>
      <c r="I2" s="390" t="str">
        <f t="shared" si="1"/>
        <v>0</v>
      </c>
      <c r="J2" s="390" t="str">
        <f t="shared" si="1"/>
        <v>0</v>
      </c>
      <c r="K2" s="390" t="str">
        <f t="shared" si="1"/>
        <v>0</v>
      </c>
      <c r="L2" s="390" t="str">
        <f t="shared" si="1"/>
        <v>3</v>
      </c>
      <c r="M2" s="390" t="str">
        <f t="shared" si="1"/>
        <v>0</v>
      </c>
      <c r="N2" s="390" t="str">
        <f t="shared" si="1"/>
        <v>P</v>
      </c>
      <c r="O2" s="390" t="str">
        <f t="shared" si="1"/>
        <v>Z</v>
      </c>
      <c r="P2" s="390" t="str">
        <f t="shared" si="1"/>
        <v>0</v>
      </c>
      <c r="Q2" s="390" t="str">
        <f t="shared" si="1"/>
        <v>3</v>
      </c>
      <c r="R2" s="390" t="str">
        <f t="shared" si="1"/>
        <v>0</v>
      </c>
      <c r="S2" s="390" t="str">
        <f t="shared" si="1"/>
        <v>0</v>
      </c>
      <c r="T2" s="390" t="str">
        <f t="shared" si="1"/>
        <v>0</v>
      </c>
      <c r="U2" s="390">
        <f t="shared" si="1"/>
      </c>
      <c r="V2" s="390">
        <f t="shared" si="1"/>
      </c>
      <c r="W2" s="390">
        <f t="shared" si="1"/>
      </c>
      <c r="X2" s="390">
        <f t="shared" si="1"/>
      </c>
      <c r="Y2" s="390">
        <f t="shared" si="1"/>
      </c>
      <c r="Z2" s="390">
        <f t="shared" si="1"/>
      </c>
      <c r="AA2" s="390">
        <f t="shared" si="1"/>
      </c>
    </row>
    <row r="3" spans="1:27" ht="13.5" thickBot="1">
      <c r="A3" s="391" t="s">
        <v>617</v>
      </c>
      <c r="B3" s="392" t="str">
        <f>C3&amp;D3&amp;E3&amp;F3&amp;G3&amp;H3&amp;I3&amp;J3&amp;K3&amp;L3&amp;M3&amp;N3&amp;O3&amp;P3&amp;Q3&amp;R3&amp;S3&amp;T3&amp;U3&amp;V3&amp;W3&amp;X3&amp;Y3&amp;Z3</f>
        <v>P13936045H4TB02E05</v>
      </c>
      <c r="C3" s="393" t="str">
        <f aca="true" t="shared" si="2" ref="C3:T3">+C5&amp;C6&amp;C7&amp;C8&amp;C16&amp;C9&amp;C10&amp;C11&amp;C12&amp;C13&amp;C14&amp;C15&amp;C19&amp;C20&amp;C17&amp;C18&amp;C21&amp;C22&amp;C23&amp;C24&amp;C25&amp;C26&amp;C27&amp;C28&amp;C29&amp;C30&amp;C31</f>
        <v>P</v>
      </c>
      <c r="D3" s="393" t="str">
        <f t="shared" si="2"/>
        <v>1</v>
      </c>
      <c r="E3" s="393" t="str">
        <f t="shared" si="2"/>
        <v>3</v>
      </c>
      <c r="F3" s="393" t="str">
        <f t="shared" si="2"/>
        <v>9</v>
      </c>
      <c r="G3" s="393" t="str">
        <f t="shared" si="2"/>
        <v>3</v>
      </c>
      <c r="H3" s="393" t="str">
        <f t="shared" si="2"/>
        <v>6</v>
      </c>
      <c r="I3" s="393" t="str">
        <f t="shared" si="2"/>
        <v>0</v>
      </c>
      <c r="J3" s="393" t="str">
        <f t="shared" si="2"/>
        <v>4</v>
      </c>
      <c r="K3" s="393" t="str">
        <f t="shared" si="2"/>
        <v>5</v>
      </c>
      <c r="L3" s="393" t="str">
        <f t="shared" si="2"/>
        <v>H</v>
      </c>
      <c r="M3" s="393" t="str">
        <f t="shared" si="2"/>
        <v>4</v>
      </c>
      <c r="N3" s="393" t="str">
        <f t="shared" si="2"/>
        <v>T</v>
      </c>
      <c r="O3" s="393" t="str">
        <f t="shared" si="2"/>
        <v>B</v>
      </c>
      <c r="P3" s="393" t="str">
        <f t="shared" si="2"/>
        <v>0</v>
      </c>
      <c r="Q3" s="393" t="str">
        <f t="shared" si="2"/>
        <v>2</v>
      </c>
      <c r="R3" s="393" t="str">
        <f t="shared" si="2"/>
        <v>E</v>
      </c>
      <c r="S3" s="393" t="str">
        <f t="shared" si="2"/>
        <v>0</v>
      </c>
      <c r="T3" s="393" t="str">
        <f t="shared" si="2"/>
        <v>5</v>
      </c>
      <c r="U3" s="393">
        <f aca="true" t="shared" si="3" ref="U3:Z3">+U5&amp;U6&amp;U7&amp;U8&amp;U16&amp;U9&amp;U10&amp;U12&amp;U13&amp;U14&amp;U15&amp;U19&amp;U20&amp;U17&amp;U18&amp;U21&amp;U22&amp;U23&amp;U24&amp;U25&amp;U26&amp;U27&amp;U28&amp;U29&amp;U30&amp;U31</f>
      </c>
      <c r="V3" s="393">
        <f t="shared" si="3"/>
      </c>
      <c r="W3" s="393">
        <f t="shared" si="3"/>
      </c>
      <c r="X3" s="393">
        <f t="shared" si="3"/>
      </c>
      <c r="Y3" s="393">
        <f t="shared" si="3"/>
      </c>
      <c r="Z3" s="393">
        <f t="shared" si="3"/>
      </c>
      <c r="AA3" s="393" t="s">
        <v>618</v>
      </c>
    </row>
    <row r="4" ht="12.75">
      <c r="B4" s="394">
        <v>0</v>
      </c>
    </row>
    <row r="5" spans="1:28" ht="12.75">
      <c r="A5" s="387" t="s">
        <v>619</v>
      </c>
      <c r="B5" s="396"/>
      <c r="C5" s="395" t="s">
        <v>85</v>
      </c>
      <c r="AB5" s="387">
        <f>+IF(AND(ISBLANK(A5),ISBLANK(B5)),0,ROW(A5))</f>
        <v>5</v>
      </c>
    </row>
    <row r="6" spans="1:28" ht="12.75">
      <c r="A6" s="387" t="s">
        <v>620</v>
      </c>
      <c r="B6" s="396"/>
      <c r="D6" s="395">
        <v>1</v>
      </c>
      <c r="AB6" s="387">
        <f>+IF(AND(ISBLANK(A6),ISBLANK(B6)),0,ROW(A6))</f>
        <v>6</v>
      </c>
    </row>
    <row r="7" spans="1:28" ht="12.75">
      <c r="A7" s="387" t="s">
        <v>621</v>
      </c>
      <c r="B7" s="396"/>
      <c r="E7" s="395">
        <v>3</v>
      </c>
      <c r="AB7" s="387">
        <f>+IF(AND(ISBLANK(A7),ISBLANK(B7)),0,ROW(A7))</f>
        <v>7</v>
      </c>
    </row>
    <row r="8" spans="1:28" ht="12.75">
      <c r="A8" s="387" t="s">
        <v>622</v>
      </c>
      <c r="B8" s="396"/>
      <c r="F8" s="395">
        <v>9</v>
      </c>
      <c r="AB8" s="387">
        <f>+IF(AND(ISBLANK(A8),ISBLANK(B8)),0,ROW(A8))</f>
        <v>8</v>
      </c>
    </row>
    <row r="9" spans="1:28" ht="12.75">
      <c r="A9" s="398" t="s">
        <v>624</v>
      </c>
      <c r="B9" s="119">
        <v>1</v>
      </c>
      <c r="G9" s="395">
        <f>IF(OR(ISERR(Configurator!D$5),ISNA(Configurator!D$5)),"_",Configurator!D$5)</f>
        <v>3</v>
      </c>
      <c r="AB9" s="387">
        <f>+IF(AND(ISBLANK(A9),ISBLANK(#REF!)),0,ROW(A9))</f>
        <v>9</v>
      </c>
    </row>
    <row r="10" spans="1:28" ht="12.75">
      <c r="A10" s="398" t="s">
        <v>625</v>
      </c>
      <c r="B10" s="119">
        <v>2</v>
      </c>
      <c r="H10" s="395">
        <f>IF(OR(ISERR(Configurator!E$5),ISNA(Configurator!E$5)),"_",Configurator!E$5)</f>
        <v>6</v>
      </c>
      <c r="AB10" s="387">
        <f>+IF(AND(ISBLANK(A10),ISBLANK(#REF!)),0,ROW(A10))</f>
        <v>10</v>
      </c>
    </row>
    <row r="11" spans="1:28" ht="12.75">
      <c r="A11" s="398" t="s">
        <v>625</v>
      </c>
      <c r="B11" s="119">
        <v>1</v>
      </c>
      <c r="I11" s="395" t="str">
        <f>IF(OR(ISERR(Configurator!F$5),ISNA(Configurator!F$5)),"_",Configurator!F$5)</f>
        <v>0</v>
      </c>
      <c r="AB11" s="387">
        <f>+IF(AND(ISBLANK(A11),ISBLANK(#REF!)),0,ROW(A11))</f>
        <v>11</v>
      </c>
    </row>
    <row r="12" spans="1:28" ht="12.75">
      <c r="A12" s="398" t="s">
        <v>626</v>
      </c>
      <c r="B12" s="119">
        <v>2</v>
      </c>
      <c r="J12" s="395">
        <f>IF(OR(ISERR(Configurator!H$5),ISNA(Configurator!H$5)),"_",Configurator!H$5)</f>
        <v>4</v>
      </c>
      <c r="AB12" s="387">
        <f>+IF(AND(ISBLANK(A12),ISBLANK(#REF!)),0,ROW(A12))</f>
        <v>12</v>
      </c>
    </row>
    <row r="13" spans="1:28" ht="12.75">
      <c r="A13" s="398" t="s">
        <v>627</v>
      </c>
      <c r="B13" s="119">
        <v>2</v>
      </c>
      <c r="K13" s="395">
        <f>IF(OR(ISERR(Configurator!I$5),ISNA(Configurator!I$5)),"_",Configurator!I$5)</f>
        <v>5</v>
      </c>
      <c r="AB13" s="387">
        <f>+IF(AND(ISBLANK(A13),ISBLANK(#REF!)),0,ROW(A13))</f>
        <v>13</v>
      </c>
    </row>
    <row r="14" spans="1:28" ht="12.75">
      <c r="A14" s="398" t="s">
        <v>628</v>
      </c>
      <c r="B14" s="119">
        <v>4</v>
      </c>
      <c r="L14" s="395" t="str">
        <f>IF(OR(ISERR(Configurator!J$5),ISNA(Configurator!J$5)),"_",Configurator!J$5)</f>
        <v>H</v>
      </c>
      <c r="AB14" s="387">
        <f>+IF(AND(ISBLANK(A14),ISBLANK(#REF!)),0,ROW(A14))</f>
        <v>14</v>
      </c>
    </row>
    <row r="15" spans="1:28" ht="12.75">
      <c r="A15" s="398" t="s">
        <v>629</v>
      </c>
      <c r="B15" s="119">
        <v>5</v>
      </c>
      <c r="M15" s="395">
        <f>IF(OR(ISERR(Configurator!K$5),ISNA(Configurator!K$5)),"_",Configurator!K$5)</f>
        <v>4</v>
      </c>
      <c r="AB15" s="387">
        <f>+IF(AND(ISBLANK(A15),ISBLANK(#REF!)),0,ROW(A15))</f>
        <v>15</v>
      </c>
    </row>
    <row r="16" spans="1:28" ht="12.75">
      <c r="A16" s="398" t="s">
        <v>623</v>
      </c>
      <c r="B16" s="399">
        <v>9</v>
      </c>
      <c r="N16" s="395" t="str">
        <f>IF(OR(ISERR(Configurator!L$5),ISNA(Configurator!L$5)),"_",LEFT(Configurator!L$5))</f>
        <v>T</v>
      </c>
      <c r="O16" s="395" t="str">
        <f>IF(OR(ISERR(Configurator!L$5),ISNA(Configurator!L$5)),"_",RIGHT(Configurator!L$5))</f>
        <v>B</v>
      </c>
      <c r="AB16" s="387">
        <f>+IF(AND(ISBLANK(A16),ISBLANK(#REF!)),0,ROW(A16))</f>
        <v>16</v>
      </c>
    </row>
    <row r="17" spans="1:28" ht="12.75">
      <c r="A17" s="398" t="s">
        <v>632</v>
      </c>
      <c r="B17" s="119">
        <v>1</v>
      </c>
      <c r="P17" s="395">
        <f>IF(OR(ISERR(Configurator!P$5),ISNA(Configurator!P$5)),"_",Configurator!P$5)</f>
        <v>0</v>
      </c>
      <c r="AB17" s="387">
        <f>+IF(AND(ISBLANK(A17),ISBLANK(#REF!)),0,ROW(A17))</f>
        <v>17</v>
      </c>
    </row>
    <row r="18" spans="1:28" ht="12.75">
      <c r="A18" s="398" t="s">
        <v>633</v>
      </c>
      <c r="B18" s="119">
        <v>3</v>
      </c>
      <c r="Q18" s="395" t="str">
        <f>IF(OR(ISERR(Configurator!Q$5),ISNA(Configurator!Q$5)),"_",Configurator!Q$5)</f>
        <v>2</v>
      </c>
      <c r="AB18" s="387">
        <f>+IF(AND(ISBLANK(A18),ISBLANK(#REF!)),0,ROW(A18))</f>
        <v>18</v>
      </c>
    </row>
    <row r="19" spans="1:28" ht="12.75">
      <c r="A19" s="398" t="s">
        <v>630</v>
      </c>
      <c r="B19" s="119">
        <v>2</v>
      </c>
      <c r="R19" s="395" t="str">
        <f>IF(OR(ISERR(Configurator!R$5),ISNA(Configurator!R$5)),"_",Configurator!R$5)</f>
        <v>E</v>
      </c>
      <c r="AB19" s="387">
        <f>+IF(AND(ISBLANK(A19),ISBLANK(#REF!)),0,ROW(A19))</f>
        <v>19</v>
      </c>
    </row>
    <row r="20" spans="1:28" ht="12.75">
      <c r="A20" s="398" t="s">
        <v>631</v>
      </c>
      <c r="B20" s="119">
        <v>1</v>
      </c>
      <c r="AB20" s="387">
        <f>+IF(AND(ISBLANK(A20),ISBLANK(#REF!)),0,ROW(A20))</f>
        <v>20</v>
      </c>
    </row>
    <row r="21" spans="1:28" ht="12.75">
      <c r="A21" s="398" t="s">
        <v>634</v>
      </c>
      <c r="B21" s="119">
        <v>1</v>
      </c>
      <c r="S21" s="395" t="str">
        <f>IF(OR(ISERR(Configurator!S$5),ISNA(Configurator!S$5)),"_",Configurator!S$5)</f>
        <v>0</v>
      </c>
      <c r="AB21" s="387">
        <f>+IF(AND(ISBLANK(A21),ISBLANK(#REF!)),0,ROW(A21))</f>
        <v>21</v>
      </c>
    </row>
    <row r="22" spans="1:28" ht="12.75">
      <c r="A22" s="398" t="s">
        <v>635</v>
      </c>
      <c r="B22" s="119">
        <v>7</v>
      </c>
      <c r="T22" s="395" t="str">
        <f>IF(OR(ISERR(Configurator!T$5),ISNA(Configurator!T$5)),"_",Configurator!T$5)</f>
        <v>5</v>
      </c>
      <c r="AB22" s="387">
        <f>+IF(AND(ISBLANK(A22),ISBLANK(#REF!)),0,ROW(A22))</f>
        <v>22</v>
      </c>
    </row>
    <row r="23" spans="1:28" ht="12.75">
      <c r="A23" s="398" t="s">
        <v>636</v>
      </c>
      <c r="B23" s="119">
        <v>1</v>
      </c>
      <c r="AB23" s="387">
        <f>+IF(AND(ISBLANK(A23),ISBLANK(#REF!)),0,ROW(A23))</f>
        <v>23</v>
      </c>
    </row>
    <row r="24" spans="1:28" ht="12.75">
      <c r="A24" s="398" t="s">
        <v>637</v>
      </c>
      <c r="B24" s="119">
        <v>1</v>
      </c>
      <c r="AB24" s="387">
        <f>+IF(AND(ISBLANK(A24),ISBLANK(#REF!)),0,ROW(A24))</f>
        <v>24</v>
      </c>
    </row>
    <row r="25" spans="2:28" ht="12.75">
      <c r="B25" s="396"/>
      <c r="AB25" s="387">
        <f aca="true" t="shared" si="4" ref="AB25:AB31">+IF(AND(ISBLANK(A25),ISBLANK(B25)),0,ROW(A25))</f>
        <v>0</v>
      </c>
    </row>
    <row r="26" spans="2:28" ht="12.75">
      <c r="B26" s="396"/>
      <c r="AB26" s="387">
        <f t="shared" si="4"/>
        <v>0</v>
      </c>
    </row>
    <row r="27" spans="2:28" ht="12.75">
      <c r="B27" s="396"/>
      <c r="AB27" s="387">
        <f t="shared" si="4"/>
        <v>0</v>
      </c>
    </row>
    <row r="28" spans="2:28" ht="12.75">
      <c r="B28" s="396"/>
      <c r="AB28" s="387">
        <f t="shared" si="4"/>
        <v>0</v>
      </c>
    </row>
    <row r="29" spans="2:28" ht="12.75">
      <c r="B29" s="396"/>
      <c r="AB29" s="387">
        <f t="shared" si="4"/>
        <v>0</v>
      </c>
    </row>
    <row r="30" spans="2:28" ht="12.75">
      <c r="B30" s="396"/>
      <c r="AB30" s="387">
        <f t="shared" si="4"/>
        <v>0</v>
      </c>
    </row>
    <row r="31" spans="2:28" ht="12.75">
      <c r="B31" s="396"/>
      <c r="AB31" s="387">
        <f t="shared" si="4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M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2" width="9.140625" style="0" customWidth="1"/>
    <col min="3" max="10" width="10.57421875" style="0" bestFit="1" customWidth="1"/>
    <col min="11" max="11" width="9.140625" style="0" customWidth="1"/>
    <col min="12" max="13" width="10.57421875" style="0" bestFit="1" customWidth="1"/>
  </cols>
  <sheetData>
    <row r="1" spans="3:13" ht="12.75">
      <c r="C1" s="383" t="s">
        <v>615</v>
      </c>
      <c r="D1" s="85" t="s">
        <v>969</v>
      </c>
      <c r="E1" s="85" t="s">
        <v>259</v>
      </c>
      <c r="F1" s="85" t="s">
        <v>1119</v>
      </c>
      <c r="G1" s="85" t="s">
        <v>1232</v>
      </c>
      <c r="H1" s="85" t="s">
        <v>852</v>
      </c>
      <c r="I1" s="85" t="s">
        <v>1062</v>
      </c>
      <c r="J1" s="85" t="s">
        <v>1233</v>
      </c>
      <c r="K1" s="85" t="s">
        <v>1234</v>
      </c>
      <c r="L1" s="85" t="s">
        <v>1221</v>
      </c>
      <c r="M1" s="85" t="s">
        <v>274</v>
      </c>
    </row>
    <row r="2" spans="1:13" ht="12.75">
      <c r="A2" s="89">
        <v>5</v>
      </c>
      <c r="B2">
        <v>2</v>
      </c>
      <c r="C2" t="s">
        <v>1230</v>
      </c>
      <c r="D2" t="s">
        <v>1230</v>
      </c>
      <c r="E2" t="s">
        <v>1230</v>
      </c>
      <c r="F2" t="s">
        <v>1230</v>
      </c>
      <c r="G2" t="s">
        <v>1229</v>
      </c>
      <c r="H2" t="s">
        <v>1229</v>
      </c>
      <c r="I2" t="s">
        <v>1229</v>
      </c>
      <c r="J2" t="s">
        <v>1229</v>
      </c>
      <c r="K2" t="s">
        <v>1228</v>
      </c>
      <c r="L2" t="s">
        <v>1228</v>
      </c>
      <c r="M2" t="s">
        <v>1228</v>
      </c>
    </row>
    <row r="3" spans="1:13" ht="12.75">
      <c r="A3" s="89">
        <v>6</v>
      </c>
      <c r="B3">
        <v>3</v>
      </c>
      <c r="C3" t="s">
        <v>1230</v>
      </c>
      <c r="D3" t="s">
        <v>1230</v>
      </c>
      <c r="E3" t="s">
        <v>1230</v>
      </c>
      <c r="F3" t="s">
        <v>1230</v>
      </c>
      <c r="G3" t="s">
        <v>1229</v>
      </c>
      <c r="H3" t="s">
        <v>1229</v>
      </c>
      <c r="I3" t="s">
        <v>1229</v>
      </c>
      <c r="J3" t="s">
        <v>1229</v>
      </c>
      <c r="K3" t="s">
        <v>1228</v>
      </c>
      <c r="L3" t="s">
        <v>1228</v>
      </c>
      <c r="M3" t="s">
        <v>1228</v>
      </c>
    </row>
    <row r="4" spans="1:13" ht="12.75">
      <c r="A4" s="89">
        <v>7</v>
      </c>
      <c r="B4">
        <v>4</v>
      </c>
      <c r="C4" t="s">
        <v>1230</v>
      </c>
      <c r="D4" t="s">
        <v>1230</v>
      </c>
      <c r="E4" t="s">
        <v>1230</v>
      </c>
      <c r="F4" t="s">
        <v>1230</v>
      </c>
      <c r="G4" t="s">
        <v>1231</v>
      </c>
      <c r="H4" t="s">
        <v>1231</v>
      </c>
      <c r="I4" t="s">
        <v>1231</v>
      </c>
      <c r="J4" t="s">
        <v>1231</v>
      </c>
      <c r="K4" t="s">
        <v>1228</v>
      </c>
      <c r="L4" t="s">
        <v>1228</v>
      </c>
      <c r="M4" t="s">
        <v>1228</v>
      </c>
    </row>
    <row r="5" spans="1:13" ht="12.75">
      <c r="A5" s="89">
        <v>9</v>
      </c>
      <c r="B5">
        <v>5</v>
      </c>
      <c r="C5" t="s">
        <v>1230</v>
      </c>
      <c r="D5" t="s">
        <v>1230</v>
      </c>
      <c r="E5" t="s">
        <v>1230</v>
      </c>
      <c r="F5" t="s">
        <v>1230</v>
      </c>
      <c r="G5" t="s">
        <v>1231</v>
      </c>
      <c r="H5" t="s">
        <v>1231</v>
      </c>
      <c r="I5" t="s">
        <v>1231</v>
      </c>
      <c r="J5" t="s">
        <v>1231</v>
      </c>
      <c r="K5" t="s">
        <v>1228</v>
      </c>
      <c r="L5" t="s">
        <v>1228</v>
      </c>
      <c r="M5" t="s">
        <v>1228</v>
      </c>
    </row>
    <row r="7" ht="12.75">
      <c r="B7" s="88" t="str">
        <f>HLOOKUP(Configurator!L7,'Processor Lookup'!A1:M5,B8,FALSE)</f>
        <v>E9651472</v>
      </c>
    </row>
    <row r="8" ht="12.75">
      <c r="B8">
        <f>VLOOKUP(Configurator!D14,'Processor Lookup'!A2:B5,2,FALSE)</f>
        <v>3</v>
      </c>
    </row>
  </sheetData>
  <sheetProtection password="DFED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667"/>
  <sheetViews>
    <sheetView zoomScale="70" zoomScaleNormal="70" zoomScalePageLayoutView="0"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16" sqref="Z16:Z18"/>
    </sheetView>
  </sheetViews>
  <sheetFormatPr defaultColWidth="9.140625" defaultRowHeight="12.75"/>
  <cols>
    <col min="1" max="1" width="55.8515625" style="94" bestFit="1" customWidth="1"/>
    <col min="2" max="2" width="24.00390625" style="166" customWidth="1"/>
    <col min="3" max="8" width="24.00390625" style="94" customWidth="1"/>
    <col min="9" max="13" width="24.00390625" style="409" customWidth="1"/>
    <col min="14" max="15" width="24.00390625" style="94" customWidth="1"/>
    <col min="16" max="26" width="24.00390625" style="409" customWidth="1"/>
    <col min="27" max="27" width="9.140625" style="573" customWidth="1"/>
    <col min="28" max="16384" width="9.140625" style="94" customWidth="1"/>
  </cols>
  <sheetData>
    <row r="1" spans="1:26" ht="15">
      <c r="A1" s="127" t="s">
        <v>1209</v>
      </c>
      <c r="B1" s="128">
        <f ca="1">IF(Configurator!$M$1="",TODAY(),Configurator!$M$1)</f>
        <v>41369</v>
      </c>
      <c r="C1" s="129" t="s">
        <v>1073</v>
      </c>
      <c r="D1" s="129" t="s">
        <v>1073</v>
      </c>
      <c r="E1" s="129" t="s">
        <v>1073</v>
      </c>
      <c r="F1" s="129" t="s">
        <v>1073</v>
      </c>
      <c r="G1" s="129" t="s">
        <v>1073</v>
      </c>
      <c r="H1" s="129" t="s">
        <v>1073</v>
      </c>
      <c r="I1" s="401" t="s">
        <v>1073</v>
      </c>
      <c r="J1" s="401" t="s">
        <v>1073</v>
      </c>
      <c r="K1" s="401" t="s">
        <v>1073</v>
      </c>
      <c r="L1" s="401" t="s">
        <v>1073</v>
      </c>
      <c r="M1" s="401" t="s">
        <v>1073</v>
      </c>
      <c r="N1" s="129" t="s">
        <v>1073</v>
      </c>
      <c r="O1" s="129" t="s">
        <v>1073</v>
      </c>
      <c r="P1" s="401" t="s">
        <v>1073</v>
      </c>
      <c r="Q1" s="401" t="s">
        <v>1073</v>
      </c>
      <c r="R1" s="401" t="s">
        <v>1073</v>
      </c>
      <c r="S1" s="401" t="s">
        <v>1073</v>
      </c>
      <c r="T1" s="401" t="s">
        <v>1073</v>
      </c>
      <c r="U1" s="401" t="s">
        <v>1073</v>
      </c>
      <c r="V1" s="401" t="s">
        <v>1073</v>
      </c>
      <c r="W1" s="401" t="s">
        <v>1073</v>
      </c>
      <c r="X1" s="401" t="s">
        <v>1073</v>
      </c>
      <c r="Y1" s="401" t="s">
        <v>1073</v>
      </c>
      <c r="Z1" s="401" t="s">
        <v>1073</v>
      </c>
    </row>
    <row r="2" spans="2:26" ht="15">
      <c r="B2" s="172">
        <v>39493</v>
      </c>
      <c r="C2" s="172">
        <v>39605</v>
      </c>
      <c r="D2" s="172">
        <v>39848</v>
      </c>
      <c r="E2" s="172">
        <v>40438</v>
      </c>
      <c r="F2" s="172">
        <v>40609</v>
      </c>
      <c r="G2" s="172">
        <v>40610</v>
      </c>
      <c r="H2" s="172">
        <v>40861</v>
      </c>
      <c r="I2" s="402">
        <v>40871</v>
      </c>
      <c r="J2" s="402">
        <v>40878</v>
      </c>
      <c r="K2" s="402">
        <v>40883</v>
      </c>
      <c r="L2" s="402">
        <v>40918</v>
      </c>
      <c r="M2" s="402">
        <v>40973</v>
      </c>
      <c r="N2" s="172">
        <v>40974</v>
      </c>
      <c r="O2" s="172">
        <v>40975</v>
      </c>
      <c r="P2" s="402">
        <v>41143</v>
      </c>
      <c r="Q2" s="402">
        <v>41337</v>
      </c>
      <c r="R2" s="402">
        <v>41369</v>
      </c>
      <c r="S2" s="402">
        <v>41370</v>
      </c>
      <c r="T2" s="402">
        <v>41417</v>
      </c>
      <c r="U2" s="402">
        <v>41471</v>
      </c>
      <c r="V2" s="402">
        <v>41500</v>
      </c>
      <c r="W2" s="402">
        <v>41808</v>
      </c>
      <c r="X2" s="402">
        <v>41878</v>
      </c>
      <c r="Y2" s="402">
        <v>41977</v>
      </c>
      <c r="Z2" s="402">
        <v>42051</v>
      </c>
    </row>
    <row r="3" spans="1:27" ht="15">
      <c r="A3" s="130" t="s">
        <v>457</v>
      </c>
      <c r="B3" s="217" t="s">
        <v>1427</v>
      </c>
      <c r="C3" s="217" t="s">
        <v>1427</v>
      </c>
      <c r="D3" s="217" t="s">
        <v>1427</v>
      </c>
      <c r="E3" s="217" t="s">
        <v>1427</v>
      </c>
      <c r="F3" s="217" t="s">
        <v>1427</v>
      </c>
      <c r="G3" s="217" t="s">
        <v>1427</v>
      </c>
      <c r="H3" s="217" t="s">
        <v>1427</v>
      </c>
      <c r="I3" s="217" t="s">
        <v>1427</v>
      </c>
      <c r="J3" s="217" t="s">
        <v>1427</v>
      </c>
      <c r="K3" s="217" t="s">
        <v>1427</v>
      </c>
      <c r="L3" s="217" t="s">
        <v>1427</v>
      </c>
      <c r="M3" s="217" t="s">
        <v>1427</v>
      </c>
      <c r="N3" s="217" t="s">
        <v>1427</v>
      </c>
      <c r="O3" s="217" t="s">
        <v>1427</v>
      </c>
      <c r="P3" s="217" t="s">
        <v>1427</v>
      </c>
      <c r="Q3" s="217" t="s">
        <v>1427</v>
      </c>
      <c r="R3" s="217" t="s">
        <v>1427</v>
      </c>
      <c r="S3" s="217" t="s">
        <v>1427</v>
      </c>
      <c r="T3" s="217" t="s">
        <v>1427</v>
      </c>
      <c r="U3" s="217" t="s">
        <v>1427</v>
      </c>
      <c r="V3" s="217" t="s">
        <v>1427</v>
      </c>
      <c r="W3" s="217" t="s">
        <v>1427</v>
      </c>
      <c r="X3" s="217" t="s">
        <v>1427</v>
      </c>
      <c r="Y3" s="217" t="s">
        <v>1427</v>
      </c>
      <c r="Z3" s="217" t="s">
        <v>1427</v>
      </c>
      <c r="AA3" s="573">
        <v>2</v>
      </c>
    </row>
    <row r="4" spans="1:27" ht="15">
      <c r="A4" s="133" t="s">
        <v>1073</v>
      </c>
      <c r="B4" s="217" t="s">
        <v>1426</v>
      </c>
      <c r="C4" s="217" t="s">
        <v>1426</v>
      </c>
      <c r="D4" s="217" t="s">
        <v>1426</v>
      </c>
      <c r="E4" s="217" t="s">
        <v>1426</v>
      </c>
      <c r="F4" s="217" t="s">
        <v>1426</v>
      </c>
      <c r="G4" s="217" t="s">
        <v>1426</v>
      </c>
      <c r="H4" s="217" t="s">
        <v>1426</v>
      </c>
      <c r="I4" s="217" t="s">
        <v>1426</v>
      </c>
      <c r="J4" s="217" t="s">
        <v>1426</v>
      </c>
      <c r="K4" s="217" t="s">
        <v>1426</v>
      </c>
      <c r="L4" s="217" t="s">
        <v>1426</v>
      </c>
      <c r="M4" s="217" t="s">
        <v>1426</v>
      </c>
      <c r="N4" s="217" t="s">
        <v>1426</v>
      </c>
      <c r="O4" s="217" t="s">
        <v>1426</v>
      </c>
      <c r="P4" s="217" t="s">
        <v>1426</v>
      </c>
      <c r="Q4" s="217" t="s">
        <v>1426</v>
      </c>
      <c r="R4" s="217" t="s">
        <v>1426</v>
      </c>
      <c r="S4" s="217" t="s">
        <v>1426</v>
      </c>
      <c r="T4" s="217" t="s">
        <v>1426</v>
      </c>
      <c r="U4" s="217" t="s">
        <v>1426</v>
      </c>
      <c r="V4" s="217" t="s">
        <v>1426</v>
      </c>
      <c r="W4" s="217" t="s">
        <v>1426</v>
      </c>
      <c r="X4" s="217" t="s">
        <v>1426</v>
      </c>
      <c r="Y4" s="217" t="s">
        <v>1426</v>
      </c>
      <c r="Z4" s="217" t="s">
        <v>1426</v>
      </c>
      <c r="AA4" s="573">
        <v>3</v>
      </c>
    </row>
    <row r="5" spans="1:27" ht="15">
      <c r="A5" s="133" t="s">
        <v>1073</v>
      </c>
      <c r="B5" s="217" t="s">
        <v>1475</v>
      </c>
      <c r="C5" s="217" t="s">
        <v>1475</v>
      </c>
      <c r="D5" s="217" t="s">
        <v>1475</v>
      </c>
      <c r="E5" s="217" t="s">
        <v>1475</v>
      </c>
      <c r="F5" s="217" t="s">
        <v>1475</v>
      </c>
      <c r="G5" s="217" t="s">
        <v>1475</v>
      </c>
      <c r="H5" s="217" t="s">
        <v>1475</v>
      </c>
      <c r="I5" s="217" t="s">
        <v>1475</v>
      </c>
      <c r="J5" s="217" t="s">
        <v>1475</v>
      </c>
      <c r="K5" s="217" t="s">
        <v>1475</v>
      </c>
      <c r="L5" s="217" t="s">
        <v>1475</v>
      </c>
      <c r="M5" s="217" t="s">
        <v>1475</v>
      </c>
      <c r="N5" s="217" t="s">
        <v>1475</v>
      </c>
      <c r="O5" s="217" t="s">
        <v>1475</v>
      </c>
      <c r="P5" s="217" t="s">
        <v>1475</v>
      </c>
      <c r="Q5" s="217" t="s">
        <v>1475</v>
      </c>
      <c r="R5" s="217" t="s">
        <v>1475</v>
      </c>
      <c r="S5" s="217" t="s">
        <v>1475</v>
      </c>
      <c r="T5" s="217" t="s">
        <v>1475</v>
      </c>
      <c r="U5" s="217" t="s">
        <v>1475</v>
      </c>
      <c r="V5" s="217" t="s">
        <v>1475</v>
      </c>
      <c r="W5" s="217" t="s">
        <v>1475</v>
      </c>
      <c r="X5" s="217" t="s">
        <v>1475</v>
      </c>
      <c r="Y5" s="217" t="s">
        <v>1475</v>
      </c>
      <c r="Z5" s="217" t="s">
        <v>1475</v>
      </c>
      <c r="AA5" s="573">
        <v>4</v>
      </c>
    </row>
    <row r="6" spans="1:27" ht="15">
      <c r="A6" s="135" t="s">
        <v>458</v>
      </c>
      <c r="B6" s="136" t="s">
        <v>1073</v>
      </c>
      <c r="C6" s="136" t="s">
        <v>1073</v>
      </c>
      <c r="D6" s="136" t="s">
        <v>1073</v>
      </c>
      <c r="E6" s="136" t="s">
        <v>1073</v>
      </c>
      <c r="F6" s="136" t="s">
        <v>1073</v>
      </c>
      <c r="G6" s="136" t="s">
        <v>1073</v>
      </c>
      <c r="H6" s="136" t="s">
        <v>1073</v>
      </c>
      <c r="I6" s="153" t="s">
        <v>1073</v>
      </c>
      <c r="J6" s="153" t="s">
        <v>1073</v>
      </c>
      <c r="K6" s="153" t="s">
        <v>1073</v>
      </c>
      <c r="L6" s="153" t="s">
        <v>1073</v>
      </c>
      <c r="M6" s="153" t="s">
        <v>1073</v>
      </c>
      <c r="N6" s="136" t="s">
        <v>1073</v>
      </c>
      <c r="O6" s="136" t="s">
        <v>1073</v>
      </c>
      <c r="P6" s="153" t="s">
        <v>1073</v>
      </c>
      <c r="Q6" s="153" t="s">
        <v>1073</v>
      </c>
      <c r="R6" s="153" t="s">
        <v>1073</v>
      </c>
      <c r="S6" s="153" t="s">
        <v>1073</v>
      </c>
      <c r="T6" s="153" t="s">
        <v>1073</v>
      </c>
      <c r="U6" s="153" t="s">
        <v>1073</v>
      </c>
      <c r="V6" s="153" t="s">
        <v>1073</v>
      </c>
      <c r="W6" s="153" t="s">
        <v>1073</v>
      </c>
      <c r="X6" s="153" t="s">
        <v>1073</v>
      </c>
      <c r="Y6" s="153" t="s">
        <v>1073</v>
      </c>
      <c r="Z6" s="153" t="s">
        <v>1073</v>
      </c>
      <c r="AA6" s="573">
        <v>5</v>
      </c>
    </row>
    <row r="7" spans="1:27" ht="15">
      <c r="A7" s="133" t="s">
        <v>1073</v>
      </c>
      <c r="B7" s="134" t="s">
        <v>1419</v>
      </c>
      <c r="C7" s="134" t="s">
        <v>1419</v>
      </c>
      <c r="D7" s="134" t="s">
        <v>1419</v>
      </c>
      <c r="E7" s="134" t="s">
        <v>1419</v>
      </c>
      <c r="F7" s="134" t="s">
        <v>1419</v>
      </c>
      <c r="G7" s="134" t="s">
        <v>1419</v>
      </c>
      <c r="H7" s="134" t="s">
        <v>1419</v>
      </c>
      <c r="I7" s="134" t="s">
        <v>1419</v>
      </c>
      <c r="J7" s="134" t="s">
        <v>1419</v>
      </c>
      <c r="K7" s="134" t="s">
        <v>1419</v>
      </c>
      <c r="L7" s="134" t="s">
        <v>1419</v>
      </c>
      <c r="M7" s="134" t="s">
        <v>1419</v>
      </c>
      <c r="N7" s="134" t="s">
        <v>1419</v>
      </c>
      <c r="O7" s="134" t="s">
        <v>1419</v>
      </c>
      <c r="P7" s="134" t="s">
        <v>1419</v>
      </c>
      <c r="Q7" s="134" t="s">
        <v>1419</v>
      </c>
      <c r="R7" s="134" t="s">
        <v>1419</v>
      </c>
      <c r="S7" s="134" t="s">
        <v>1419</v>
      </c>
      <c r="T7" s="134" t="s">
        <v>1419</v>
      </c>
      <c r="U7" s="134" t="s">
        <v>1419</v>
      </c>
      <c r="V7" s="134" t="s">
        <v>1419</v>
      </c>
      <c r="W7" s="134" t="s">
        <v>1419</v>
      </c>
      <c r="X7" s="134" t="s">
        <v>1419</v>
      </c>
      <c r="Y7" s="134" t="s">
        <v>1419</v>
      </c>
      <c r="Z7" s="134" t="s">
        <v>1419</v>
      </c>
      <c r="AA7" s="573">
        <v>6</v>
      </c>
    </row>
    <row r="8" spans="1:27" ht="15">
      <c r="A8" s="133" t="s">
        <v>1073</v>
      </c>
      <c r="B8" s="134" t="s">
        <v>1418</v>
      </c>
      <c r="C8" s="134" t="s">
        <v>1418</v>
      </c>
      <c r="D8" s="134" t="s">
        <v>1418</v>
      </c>
      <c r="E8" s="134" t="s">
        <v>1418</v>
      </c>
      <c r="F8" s="134" t="s">
        <v>1418</v>
      </c>
      <c r="G8" s="134" t="s">
        <v>1418</v>
      </c>
      <c r="H8" s="134" t="s">
        <v>1418</v>
      </c>
      <c r="I8" s="134" t="s">
        <v>1418</v>
      </c>
      <c r="J8" s="134" t="s">
        <v>1418</v>
      </c>
      <c r="K8" s="134" t="s">
        <v>1418</v>
      </c>
      <c r="L8" s="134" t="s">
        <v>1418</v>
      </c>
      <c r="M8" s="134" t="s">
        <v>1418</v>
      </c>
      <c r="N8" s="134" t="s">
        <v>1418</v>
      </c>
      <c r="O8" s="134" t="s">
        <v>1418</v>
      </c>
      <c r="P8" s="134" t="s">
        <v>1418</v>
      </c>
      <c r="Q8" s="134" t="s">
        <v>1418</v>
      </c>
      <c r="R8" s="134" t="s">
        <v>1418</v>
      </c>
      <c r="S8" s="134" t="s">
        <v>1418</v>
      </c>
      <c r="T8" s="134" t="s">
        <v>1418</v>
      </c>
      <c r="U8" s="134" t="s">
        <v>1418</v>
      </c>
      <c r="V8" s="134" t="s">
        <v>1418</v>
      </c>
      <c r="W8" s="134" t="s">
        <v>1418</v>
      </c>
      <c r="X8" s="134" t="s">
        <v>1418</v>
      </c>
      <c r="Y8" s="134" t="s">
        <v>1418</v>
      </c>
      <c r="Z8" s="134" t="s">
        <v>1418</v>
      </c>
      <c r="AA8" s="573">
        <v>7</v>
      </c>
    </row>
    <row r="9" spans="1:27" ht="15">
      <c r="A9" s="133"/>
      <c r="B9" s="134" t="s">
        <v>1417</v>
      </c>
      <c r="C9" s="134" t="s">
        <v>1417</v>
      </c>
      <c r="D9" s="134" t="s">
        <v>1417</v>
      </c>
      <c r="E9" s="134" t="s">
        <v>1417</v>
      </c>
      <c r="F9" s="134" t="s">
        <v>1417</v>
      </c>
      <c r="G9" s="134" t="s">
        <v>1417</v>
      </c>
      <c r="H9" s="134" t="s">
        <v>1417</v>
      </c>
      <c r="I9" s="134" t="s">
        <v>1417</v>
      </c>
      <c r="J9" s="134" t="s">
        <v>1417</v>
      </c>
      <c r="K9" s="134" t="s">
        <v>1417</v>
      </c>
      <c r="L9" s="134" t="s">
        <v>1417</v>
      </c>
      <c r="M9" s="134" t="s">
        <v>1417</v>
      </c>
      <c r="N9" s="134" t="s">
        <v>1417</v>
      </c>
      <c r="O9" s="134" t="s">
        <v>1417</v>
      </c>
      <c r="P9" s="134" t="s">
        <v>1417</v>
      </c>
      <c r="Q9" s="134" t="s">
        <v>1417</v>
      </c>
      <c r="R9" s="134" t="s">
        <v>1417</v>
      </c>
      <c r="S9" s="134" t="s">
        <v>1417</v>
      </c>
      <c r="T9" s="134" t="s">
        <v>1417</v>
      </c>
      <c r="U9" s="134" t="s">
        <v>1417</v>
      </c>
      <c r="V9" s="134" t="s">
        <v>1417</v>
      </c>
      <c r="W9" s="134" t="s">
        <v>1417</v>
      </c>
      <c r="X9" s="134" t="s">
        <v>1417</v>
      </c>
      <c r="Y9" s="134" t="s">
        <v>1417</v>
      </c>
      <c r="Z9" s="134" t="s">
        <v>1417</v>
      </c>
      <c r="AA9" s="573">
        <v>8</v>
      </c>
    </row>
    <row r="10" spans="1:27" ht="15">
      <c r="A10" s="133"/>
      <c r="B10" s="134" t="s">
        <v>1416</v>
      </c>
      <c r="C10" s="134" t="s">
        <v>1416</v>
      </c>
      <c r="D10" s="134" t="s">
        <v>1416</v>
      </c>
      <c r="E10" s="134" t="s">
        <v>1416</v>
      </c>
      <c r="F10" s="134" t="s">
        <v>1416</v>
      </c>
      <c r="G10" s="134" t="s">
        <v>1416</v>
      </c>
      <c r="H10" s="134" t="s">
        <v>1416</v>
      </c>
      <c r="I10" s="134" t="s">
        <v>1416</v>
      </c>
      <c r="J10" s="134" t="s">
        <v>1416</v>
      </c>
      <c r="K10" s="134" t="s">
        <v>1416</v>
      </c>
      <c r="L10" s="134" t="s">
        <v>1416</v>
      </c>
      <c r="M10" s="134" t="s">
        <v>1416</v>
      </c>
      <c r="N10" s="134" t="s">
        <v>1416</v>
      </c>
      <c r="O10" s="134" t="s">
        <v>1416</v>
      </c>
      <c r="P10" s="134" t="s">
        <v>1416</v>
      </c>
      <c r="Q10" s="134" t="s">
        <v>1416</v>
      </c>
      <c r="R10" s="134" t="s">
        <v>1416</v>
      </c>
      <c r="S10" s="134" t="s">
        <v>1416</v>
      </c>
      <c r="T10" s="134" t="s">
        <v>1416</v>
      </c>
      <c r="U10" s="134" t="s">
        <v>1416</v>
      </c>
      <c r="V10" s="134" t="s">
        <v>1416</v>
      </c>
      <c r="W10" s="134" t="s">
        <v>1416</v>
      </c>
      <c r="X10" s="134" t="s">
        <v>1416</v>
      </c>
      <c r="Y10" s="134" t="s">
        <v>1416</v>
      </c>
      <c r="Z10" s="134" t="s">
        <v>1416</v>
      </c>
      <c r="AA10" s="573">
        <v>9</v>
      </c>
    </row>
    <row r="11" spans="1:27" ht="15">
      <c r="A11" s="133"/>
      <c r="B11" s="136" t="s">
        <v>1073</v>
      </c>
      <c r="C11" s="136" t="s">
        <v>1073</v>
      </c>
      <c r="D11" s="136" t="s">
        <v>1073</v>
      </c>
      <c r="E11" s="136" t="s">
        <v>1073</v>
      </c>
      <c r="F11" s="136" t="s">
        <v>1073</v>
      </c>
      <c r="G11" s="136" t="s">
        <v>1073</v>
      </c>
      <c r="H11" s="136" t="s">
        <v>1073</v>
      </c>
      <c r="I11" s="153" t="s">
        <v>1073</v>
      </c>
      <c r="J11" s="153" t="s">
        <v>1073</v>
      </c>
      <c r="K11" s="153" t="s">
        <v>1073</v>
      </c>
      <c r="L11" s="153" t="s">
        <v>1073</v>
      </c>
      <c r="M11" s="153" t="s">
        <v>1073</v>
      </c>
      <c r="N11" s="136" t="s">
        <v>1073</v>
      </c>
      <c r="O11" s="136" t="s">
        <v>1073</v>
      </c>
      <c r="P11" s="153" t="s">
        <v>1073</v>
      </c>
      <c r="Q11" s="153" t="s">
        <v>1073</v>
      </c>
      <c r="R11" s="153" t="s">
        <v>1073</v>
      </c>
      <c r="S11" s="153" t="s">
        <v>1073</v>
      </c>
      <c r="T11" s="153" t="s">
        <v>1073</v>
      </c>
      <c r="U11" s="153" t="s">
        <v>1073</v>
      </c>
      <c r="V11" s="153" t="s">
        <v>1073</v>
      </c>
      <c r="W11" s="153" t="s">
        <v>1073</v>
      </c>
      <c r="X11" s="153" t="s">
        <v>1073</v>
      </c>
      <c r="Y11" s="153" t="s">
        <v>1073</v>
      </c>
      <c r="Z11" s="153" t="s">
        <v>1073</v>
      </c>
      <c r="AA11" s="573">
        <v>10</v>
      </c>
    </row>
    <row r="12" spans="1:27" ht="15">
      <c r="A12" s="133"/>
      <c r="B12" s="136" t="s">
        <v>1073</v>
      </c>
      <c r="C12" s="136" t="s">
        <v>1073</v>
      </c>
      <c r="D12" s="136" t="s">
        <v>1073</v>
      </c>
      <c r="E12" s="136" t="s">
        <v>1073</v>
      </c>
      <c r="F12" s="136" t="s">
        <v>1073</v>
      </c>
      <c r="G12" s="136" t="s">
        <v>1073</v>
      </c>
      <c r="H12" s="136" t="s">
        <v>1073</v>
      </c>
      <c r="I12" s="153" t="s">
        <v>1073</v>
      </c>
      <c r="J12" s="153" t="s">
        <v>1073</v>
      </c>
      <c r="K12" s="153" t="s">
        <v>1073</v>
      </c>
      <c r="L12" s="153" t="s">
        <v>1073</v>
      </c>
      <c r="M12" s="153" t="s">
        <v>1073</v>
      </c>
      <c r="N12" s="136" t="s">
        <v>1073</v>
      </c>
      <c r="O12" s="136" t="s">
        <v>1073</v>
      </c>
      <c r="P12" s="153" t="s">
        <v>1073</v>
      </c>
      <c r="Q12" s="153" t="s">
        <v>1073</v>
      </c>
      <c r="R12" s="153" t="s">
        <v>1073</v>
      </c>
      <c r="S12" s="153" t="s">
        <v>1073</v>
      </c>
      <c r="T12" s="153" t="s">
        <v>1073</v>
      </c>
      <c r="U12" s="153" t="s">
        <v>1073</v>
      </c>
      <c r="V12" s="153" t="s">
        <v>1073</v>
      </c>
      <c r="W12" s="153" t="s">
        <v>1073</v>
      </c>
      <c r="X12" s="153" t="s">
        <v>1073</v>
      </c>
      <c r="Y12" s="153" t="s">
        <v>1073</v>
      </c>
      <c r="Z12" s="153" t="s">
        <v>1073</v>
      </c>
      <c r="AA12" s="573">
        <v>11</v>
      </c>
    </row>
    <row r="13" spans="1:27" ht="15">
      <c r="A13" s="133"/>
      <c r="B13" s="136" t="s">
        <v>1073</v>
      </c>
      <c r="C13" s="136" t="s">
        <v>1073</v>
      </c>
      <c r="D13" s="136" t="s">
        <v>1073</v>
      </c>
      <c r="E13" s="136" t="s">
        <v>1073</v>
      </c>
      <c r="F13" s="136" t="s">
        <v>1073</v>
      </c>
      <c r="G13" s="136" t="s">
        <v>1073</v>
      </c>
      <c r="H13" s="136" t="s">
        <v>1073</v>
      </c>
      <c r="I13" s="153" t="s">
        <v>1073</v>
      </c>
      <c r="J13" s="153" t="s">
        <v>1073</v>
      </c>
      <c r="K13" s="153" t="s">
        <v>1073</v>
      </c>
      <c r="L13" s="153" t="s">
        <v>1073</v>
      </c>
      <c r="M13" s="153" t="s">
        <v>1073</v>
      </c>
      <c r="N13" s="136" t="s">
        <v>1073</v>
      </c>
      <c r="O13" s="136" t="s">
        <v>1073</v>
      </c>
      <c r="P13" s="153" t="s">
        <v>1073</v>
      </c>
      <c r="Q13" s="153" t="s">
        <v>1073</v>
      </c>
      <c r="R13" s="153" t="s">
        <v>1073</v>
      </c>
      <c r="S13" s="153" t="s">
        <v>1073</v>
      </c>
      <c r="T13" s="153" t="s">
        <v>1073</v>
      </c>
      <c r="U13" s="153" t="s">
        <v>1073</v>
      </c>
      <c r="V13" s="153" t="s">
        <v>1073</v>
      </c>
      <c r="W13" s="153" t="s">
        <v>1073</v>
      </c>
      <c r="X13" s="153" t="s">
        <v>1073</v>
      </c>
      <c r="Y13" s="153" t="s">
        <v>1073</v>
      </c>
      <c r="Z13" s="153" t="s">
        <v>1073</v>
      </c>
      <c r="AA13" s="573">
        <v>12</v>
      </c>
    </row>
    <row r="14" spans="1:27" ht="15">
      <c r="A14" s="133"/>
      <c r="B14" s="136" t="s">
        <v>1073</v>
      </c>
      <c r="C14" s="136" t="s">
        <v>1073</v>
      </c>
      <c r="D14" s="136" t="s">
        <v>1073</v>
      </c>
      <c r="E14" s="136" t="s">
        <v>1073</v>
      </c>
      <c r="F14" s="136" t="s">
        <v>1073</v>
      </c>
      <c r="G14" s="136" t="s">
        <v>1073</v>
      </c>
      <c r="H14" s="136" t="s">
        <v>1073</v>
      </c>
      <c r="I14" s="153" t="s">
        <v>1073</v>
      </c>
      <c r="J14" s="153" t="s">
        <v>1073</v>
      </c>
      <c r="K14" s="153" t="s">
        <v>1073</v>
      </c>
      <c r="L14" s="153" t="s">
        <v>1073</v>
      </c>
      <c r="M14" s="153" t="s">
        <v>1073</v>
      </c>
      <c r="N14" s="136" t="s">
        <v>1073</v>
      </c>
      <c r="O14" s="136" t="s">
        <v>1073</v>
      </c>
      <c r="P14" s="153" t="s">
        <v>1073</v>
      </c>
      <c r="Q14" s="153" t="s">
        <v>1073</v>
      </c>
      <c r="R14" s="153" t="s">
        <v>1073</v>
      </c>
      <c r="S14" s="153" t="s">
        <v>1073</v>
      </c>
      <c r="T14" s="153" t="s">
        <v>1073</v>
      </c>
      <c r="U14" s="153" t="s">
        <v>1073</v>
      </c>
      <c r="V14" s="153" t="s">
        <v>1073</v>
      </c>
      <c r="W14" s="153" t="s">
        <v>1073</v>
      </c>
      <c r="X14" s="153" t="s">
        <v>1073</v>
      </c>
      <c r="Y14" s="153" t="s">
        <v>1073</v>
      </c>
      <c r="Z14" s="153" t="s">
        <v>1073</v>
      </c>
      <c r="AA14" s="573">
        <v>13</v>
      </c>
    </row>
    <row r="15" spans="1:27" ht="15">
      <c r="A15" s="135" t="s">
        <v>459</v>
      </c>
      <c r="B15" s="136" t="s">
        <v>1073</v>
      </c>
      <c r="C15" s="136" t="s">
        <v>1073</v>
      </c>
      <c r="D15" s="136" t="s">
        <v>1073</v>
      </c>
      <c r="E15" s="136" t="s">
        <v>1073</v>
      </c>
      <c r="F15" s="136" t="s">
        <v>1073</v>
      </c>
      <c r="G15" s="136" t="s">
        <v>1073</v>
      </c>
      <c r="H15" s="136" t="s">
        <v>1073</v>
      </c>
      <c r="I15" s="153" t="s">
        <v>1073</v>
      </c>
      <c r="J15" s="153" t="s">
        <v>1073</v>
      </c>
      <c r="K15" s="153" t="s">
        <v>1073</v>
      </c>
      <c r="L15" s="153" t="s">
        <v>1073</v>
      </c>
      <c r="M15" s="153" t="s">
        <v>1073</v>
      </c>
      <c r="N15" s="136" t="s">
        <v>1073</v>
      </c>
      <c r="O15" s="136" t="s">
        <v>1073</v>
      </c>
      <c r="P15" s="153" t="s">
        <v>1073</v>
      </c>
      <c r="Q15" s="153" t="s">
        <v>1073</v>
      </c>
      <c r="R15" s="153" t="s">
        <v>1073</v>
      </c>
      <c r="S15" s="153" t="s">
        <v>1073</v>
      </c>
      <c r="T15" s="153" t="s">
        <v>1073</v>
      </c>
      <c r="U15" s="153" t="s">
        <v>1073</v>
      </c>
      <c r="V15" s="153" t="s">
        <v>1073</v>
      </c>
      <c r="W15" s="153" t="s">
        <v>1073</v>
      </c>
      <c r="X15" s="153" t="s">
        <v>1073</v>
      </c>
      <c r="Y15" s="153" t="s">
        <v>1073</v>
      </c>
      <c r="Z15" s="153" t="s">
        <v>1073</v>
      </c>
      <c r="AA15" s="573">
        <v>14</v>
      </c>
    </row>
    <row r="16" spans="1:27" ht="15">
      <c r="A16" s="133" t="s">
        <v>1073</v>
      </c>
      <c r="B16" s="217" t="s">
        <v>1347</v>
      </c>
      <c r="C16" s="217" t="s">
        <v>1347</v>
      </c>
      <c r="D16" s="217" t="s">
        <v>1347</v>
      </c>
      <c r="E16" s="217" t="s">
        <v>1347</v>
      </c>
      <c r="F16" s="217" t="s">
        <v>1347</v>
      </c>
      <c r="G16" s="217" t="s">
        <v>1347</v>
      </c>
      <c r="H16" s="217" t="s">
        <v>1347</v>
      </c>
      <c r="I16" s="217" t="s">
        <v>1347</v>
      </c>
      <c r="J16" s="217" t="s">
        <v>1347</v>
      </c>
      <c r="K16" s="217" t="s">
        <v>1347</v>
      </c>
      <c r="L16" s="217" t="s">
        <v>1347</v>
      </c>
      <c r="M16" s="217" t="s">
        <v>1347</v>
      </c>
      <c r="N16" s="217" t="s">
        <v>1347</v>
      </c>
      <c r="O16" s="217" t="s">
        <v>1347</v>
      </c>
      <c r="P16" s="217" t="s">
        <v>1347</v>
      </c>
      <c r="Q16" s="217" t="s">
        <v>1347</v>
      </c>
      <c r="R16" s="217" t="s">
        <v>1347</v>
      </c>
      <c r="S16" s="217" t="s">
        <v>1347</v>
      </c>
      <c r="T16" s="217" t="s">
        <v>1347</v>
      </c>
      <c r="U16" s="217" t="s">
        <v>1347</v>
      </c>
      <c r="V16" s="568" t="str">
        <f>IF(Configurator!$D$12="3","Нет"," ")</f>
        <v> </v>
      </c>
      <c r="W16" s="217" t="s">
        <v>1347</v>
      </c>
      <c r="X16" s="217" t="s">
        <v>1347</v>
      </c>
      <c r="Y16" s="217" t="s">
        <v>1347</v>
      </c>
      <c r="Z16" s="217" t="s">
        <v>1347</v>
      </c>
      <c r="AA16" s="573">
        <v>15</v>
      </c>
    </row>
    <row r="17" spans="1:27" ht="15">
      <c r="A17" s="133" t="s">
        <v>1073</v>
      </c>
      <c r="B17" s="217" t="s">
        <v>1134</v>
      </c>
      <c r="C17" s="217" t="s">
        <v>1134</v>
      </c>
      <c r="D17" s="217" t="s">
        <v>1134</v>
      </c>
      <c r="E17" s="217" t="s">
        <v>1134</v>
      </c>
      <c r="F17" s="217" t="s">
        <v>1134</v>
      </c>
      <c r="G17" s="217" t="s">
        <v>1134</v>
      </c>
      <c r="H17" s="217" t="s">
        <v>1134</v>
      </c>
      <c r="I17" s="217" t="s">
        <v>1134</v>
      </c>
      <c r="J17" s="217" t="s">
        <v>1134</v>
      </c>
      <c r="K17" s="217" t="s">
        <v>1134</v>
      </c>
      <c r="L17" s="217" t="s">
        <v>1134</v>
      </c>
      <c r="M17" s="217" t="s">
        <v>1134</v>
      </c>
      <c r="N17" s="217" t="s">
        <v>1134</v>
      </c>
      <c r="O17" s="217" t="s">
        <v>1134</v>
      </c>
      <c r="P17" s="217" t="s">
        <v>1134</v>
      </c>
      <c r="Q17" s="217" t="s">
        <v>1134</v>
      </c>
      <c r="R17" s="217" t="s">
        <v>1134</v>
      </c>
      <c r="S17" s="217" t="s">
        <v>1134</v>
      </c>
      <c r="T17" s="217" t="s">
        <v>1134</v>
      </c>
      <c r="U17" s="217" t="s">
        <v>1134</v>
      </c>
      <c r="V17" s="217" t="s">
        <v>1134</v>
      </c>
      <c r="W17" s="217" t="s">
        <v>1134</v>
      </c>
      <c r="X17" s="217" t="s">
        <v>1134</v>
      </c>
      <c r="Y17" s="217" t="s">
        <v>1134</v>
      </c>
      <c r="Z17" s="217" t="s">
        <v>1134</v>
      </c>
      <c r="AA17" s="573">
        <v>16</v>
      </c>
    </row>
    <row r="18" spans="1:27" ht="15">
      <c r="A18" s="133" t="s">
        <v>1073</v>
      </c>
      <c r="B18" s="217" t="s">
        <v>1411</v>
      </c>
      <c r="C18" s="217" t="s">
        <v>1411</v>
      </c>
      <c r="D18" s="217" t="s">
        <v>1411</v>
      </c>
      <c r="E18" s="217" t="s">
        <v>1411</v>
      </c>
      <c r="F18" s="217" t="s">
        <v>1411</v>
      </c>
      <c r="G18" s="217" t="s">
        <v>1411</v>
      </c>
      <c r="H18" s="217" t="s">
        <v>1411</v>
      </c>
      <c r="I18" s="217" t="s">
        <v>1411</v>
      </c>
      <c r="J18" s="217" t="s">
        <v>1411</v>
      </c>
      <c r="K18" s="217" t="s">
        <v>1411</v>
      </c>
      <c r="L18" s="217" t="s">
        <v>1411</v>
      </c>
      <c r="M18" s="217" t="s">
        <v>1411</v>
      </c>
      <c r="N18" s="217" t="s">
        <v>1411</v>
      </c>
      <c r="O18" s="217" t="s">
        <v>1411</v>
      </c>
      <c r="P18" s="217" t="s">
        <v>1411</v>
      </c>
      <c r="Q18" s="217" t="s">
        <v>1411</v>
      </c>
      <c r="R18" s="217" t="s">
        <v>1411</v>
      </c>
      <c r="S18" s="217" t="s">
        <v>1411</v>
      </c>
      <c r="T18" s="217" t="s">
        <v>1411</v>
      </c>
      <c r="U18" s="217" t="s">
        <v>1411</v>
      </c>
      <c r="V18" s="217" t="s">
        <v>1411</v>
      </c>
      <c r="W18" s="217" t="s">
        <v>1411</v>
      </c>
      <c r="X18" s="217" t="s">
        <v>1411</v>
      </c>
      <c r="Y18" s="217" t="s">
        <v>1411</v>
      </c>
      <c r="Z18" s="217" t="s">
        <v>1411</v>
      </c>
      <c r="AA18" s="573">
        <v>17</v>
      </c>
    </row>
    <row r="19" spans="1:27" ht="15">
      <c r="A19" s="135" t="s">
        <v>460</v>
      </c>
      <c r="B19" s="212" t="s">
        <v>902</v>
      </c>
      <c r="C19" s="212" t="s">
        <v>902</v>
      </c>
      <c r="D19" s="252" t="s">
        <v>1073</v>
      </c>
      <c r="E19" s="212" t="s">
        <v>902</v>
      </c>
      <c r="F19" s="252" t="s">
        <v>1073</v>
      </c>
      <c r="G19" s="252" t="s">
        <v>1073</v>
      </c>
      <c r="H19" s="252" t="s">
        <v>1073</v>
      </c>
      <c r="I19" s="153" t="s">
        <v>1073</v>
      </c>
      <c r="J19" s="153" t="s">
        <v>1073</v>
      </c>
      <c r="K19" s="217" t="s">
        <v>902</v>
      </c>
      <c r="L19" s="153" t="s">
        <v>1073</v>
      </c>
      <c r="M19" s="153" t="s">
        <v>1073</v>
      </c>
      <c r="N19" s="252" t="s">
        <v>1073</v>
      </c>
      <c r="O19" s="252" t="s">
        <v>1073</v>
      </c>
      <c r="P19" s="153" t="s">
        <v>1073</v>
      </c>
      <c r="Q19" s="153" t="s">
        <v>1073</v>
      </c>
      <c r="R19" s="153" t="s">
        <v>1073</v>
      </c>
      <c r="S19" s="153" t="s">
        <v>1073</v>
      </c>
      <c r="T19" s="153" t="s">
        <v>1073</v>
      </c>
      <c r="U19" s="153" t="s">
        <v>1073</v>
      </c>
      <c r="V19" s="153" t="s">
        <v>1073</v>
      </c>
      <c r="W19" s="153" t="s">
        <v>1073</v>
      </c>
      <c r="X19" s="153" t="s">
        <v>1073</v>
      </c>
      <c r="Y19" s="153" t="s">
        <v>1073</v>
      </c>
      <c r="Z19" s="153" t="s">
        <v>1073</v>
      </c>
      <c r="AA19" s="573">
        <v>18</v>
      </c>
    </row>
    <row r="20" spans="1:27" ht="15">
      <c r="A20" s="133" t="s">
        <v>1073</v>
      </c>
      <c r="B20" s="136" t="s">
        <v>1215</v>
      </c>
      <c r="C20" s="136" t="s">
        <v>1215</v>
      </c>
      <c r="D20" s="136" t="s">
        <v>1215</v>
      </c>
      <c r="E20" s="136" t="s">
        <v>1215</v>
      </c>
      <c r="F20" s="136" t="s">
        <v>1215</v>
      </c>
      <c r="G20" s="136" t="s">
        <v>1215</v>
      </c>
      <c r="H20" s="136" t="s">
        <v>1215</v>
      </c>
      <c r="I20" s="153" t="s">
        <v>1215</v>
      </c>
      <c r="J20" s="153" t="s">
        <v>1215</v>
      </c>
      <c r="K20" s="153" t="s">
        <v>1215</v>
      </c>
      <c r="L20" s="153" t="s">
        <v>1215</v>
      </c>
      <c r="M20" s="153" t="s">
        <v>1215</v>
      </c>
      <c r="N20" s="136" t="s">
        <v>1215</v>
      </c>
      <c r="O20" s="136" t="s">
        <v>1215</v>
      </c>
      <c r="P20" s="153" t="s">
        <v>1215</v>
      </c>
      <c r="Q20" s="153" t="s">
        <v>1215</v>
      </c>
      <c r="R20" s="153" t="s">
        <v>1215</v>
      </c>
      <c r="S20" s="153" t="s">
        <v>1215</v>
      </c>
      <c r="T20" s="153" t="s">
        <v>1215</v>
      </c>
      <c r="U20" s="153" t="s">
        <v>1215</v>
      </c>
      <c r="V20" s="153" t="s">
        <v>1215</v>
      </c>
      <c r="W20" s="153" t="s">
        <v>1215</v>
      </c>
      <c r="X20" s="153" t="s">
        <v>1215</v>
      </c>
      <c r="Y20" s="153" t="s">
        <v>1215</v>
      </c>
      <c r="Z20" s="153" t="s">
        <v>1215</v>
      </c>
      <c r="AA20" s="573">
        <v>19</v>
      </c>
    </row>
    <row r="21" spans="1:27" ht="15">
      <c r="A21" s="135" t="s">
        <v>1074</v>
      </c>
      <c r="B21" s="136" t="s">
        <v>1073</v>
      </c>
      <c r="C21" s="136" t="s">
        <v>1073</v>
      </c>
      <c r="D21" s="136" t="s">
        <v>1073</v>
      </c>
      <c r="E21" s="136" t="s">
        <v>1073</v>
      </c>
      <c r="F21" s="136" t="s">
        <v>1073</v>
      </c>
      <c r="G21" s="136" t="s">
        <v>1073</v>
      </c>
      <c r="H21" s="136" t="s">
        <v>1073</v>
      </c>
      <c r="I21" s="153" t="s">
        <v>1073</v>
      </c>
      <c r="J21" s="153" t="s">
        <v>1073</v>
      </c>
      <c r="K21" s="153" t="s">
        <v>1073</v>
      </c>
      <c r="L21" s="153" t="s">
        <v>1073</v>
      </c>
      <c r="M21" s="153" t="s">
        <v>1073</v>
      </c>
      <c r="N21" s="136" t="s">
        <v>1073</v>
      </c>
      <c r="O21" s="136" t="s">
        <v>1073</v>
      </c>
      <c r="P21" s="153" t="s">
        <v>1073</v>
      </c>
      <c r="Q21" s="153" t="s">
        <v>1073</v>
      </c>
      <c r="R21" s="153" t="s">
        <v>1073</v>
      </c>
      <c r="S21" s="153" t="s">
        <v>1073</v>
      </c>
      <c r="T21" s="153" t="s">
        <v>1073</v>
      </c>
      <c r="U21" s="153" t="s">
        <v>1073</v>
      </c>
      <c r="V21" s="153" t="s">
        <v>1073</v>
      </c>
      <c r="W21" s="153" t="s">
        <v>1073</v>
      </c>
      <c r="X21" s="153" t="s">
        <v>1073</v>
      </c>
      <c r="Y21" s="153" t="s">
        <v>1073</v>
      </c>
      <c r="Z21" s="153" t="s">
        <v>1073</v>
      </c>
      <c r="AA21" s="573">
        <v>20</v>
      </c>
    </row>
    <row r="22" spans="1:27" ht="15">
      <c r="A22" s="133" t="s">
        <v>1073</v>
      </c>
      <c r="B22" s="217" t="s">
        <v>1347</v>
      </c>
      <c r="C22" s="217" t="s">
        <v>1347</v>
      </c>
      <c r="D22" s="217" t="s">
        <v>1347</v>
      </c>
      <c r="E22" s="217" t="s">
        <v>1347</v>
      </c>
      <c r="F22" s="217" t="s">
        <v>1347</v>
      </c>
      <c r="G22" s="217" t="s">
        <v>1347</v>
      </c>
      <c r="H22" s="217" t="s">
        <v>1347</v>
      </c>
      <c r="I22" s="217" t="s">
        <v>1347</v>
      </c>
      <c r="J22" s="217" t="s">
        <v>1347</v>
      </c>
      <c r="K22" s="217" t="s">
        <v>1347</v>
      </c>
      <c r="L22" s="217" t="s">
        <v>1347</v>
      </c>
      <c r="M22" s="217" t="s">
        <v>1347</v>
      </c>
      <c r="N22" s="217" t="s">
        <v>1347</v>
      </c>
      <c r="O22" s="217" t="s">
        <v>1347</v>
      </c>
      <c r="P22" s="217" t="s">
        <v>1347</v>
      </c>
      <c r="Q22" s="217" t="s">
        <v>1347</v>
      </c>
      <c r="R22" s="217" t="s">
        <v>1347</v>
      </c>
      <c r="S22" s="217" t="s">
        <v>1347</v>
      </c>
      <c r="T22" s="217" t="s">
        <v>1347</v>
      </c>
      <c r="U22" s="217" t="s">
        <v>1347</v>
      </c>
      <c r="V22" s="217" t="s">
        <v>1347</v>
      </c>
      <c r="W22" s="217" t="s">
        <v>1347</v>
      </c>
      <c r="X22" s="217" t="s">
        <v>1347</v>
      </c>
      <c r="Y22" s="217" t="s">
        <v>1347</v>
      </c>
      <c r="Z22" s="217" t="s">
        <v>1347</v>
      </c>
      <c r="AA22" s="573">
        <v>21</v>
      </c>
    </row>
    <row r="23" spans="1:27" ht="15">
      <c r="A23" s="133" t="s">
        <v>1073</v>
      </c>
      <c r="B23" s="217" t="s">
        <v>1438</v>
      </c>
      <c r="C23" s="217" t="s">
        <v>1438</v>
      </c>
      <c r="D23" s="217" t="s">
        <v>1438</v>
      </c>
      <c r="E23" s="217" t="s">
        <v>1438</v>
      </c>
      <c r="F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G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H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I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J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K23" s="217" t="s">
        <v>1438</v>
      </c>
      <c r="L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M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N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O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P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Q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R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S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T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U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V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W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X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Y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Z23" s="227" t="str">
        <f>IF(Configurator!$D$29="2","1 модуль входов/выходов ( 6 дискретных входов/6 выходов) (1-pole)) для управления 3-мя  дополнительными распределительными устройствами","1 модуль входов/выходов ( 6 дискретных входов/6 выходов) (2-pole)) для управления 3-мя  дополнительными распределительными устройствами")</f>
        <v>1 модуль входов/выходов ( 6 дискретных входов/6 выходов) (2-pole)) для управления 3-мя  дополнительными распределительными устройствами</v>
      </c>
      <c r="AA23" s="573">
        <v>22</v>
      </c>
    </row>
    <row r="24" spans="1:27" ht="15">
      <c r="A24" s="135" t="s">
        <v>1075</v>
      </c>
      <c r="B24" s="136" t="s">
        <v>1073</v>
      </c>
      <c r="C24" s="136" t="s">
        <v>1073</v>
      </c>
      <c r="D24" s="136" t="s">
        <v>1073</v>
      </c>
      <c r="E24" s="136" t="s">
        <v>1073</v>
      </c>
      <c r="F24" s="136" t="s">
        <v>1073</v>
      </c>
      <c r="G24" s="136" t="s">
        <v>1073</v>
      </c>
      <c r="H24" s="136" t="s">
        <v>1073</v>
      </c>
      <c r="I24" s="153" t="s">
        <v>1073</v>
      </c>
      <c r="J24" s="153" t="s">
        <v>1073</v>
      </c>
      <c r="K24" s="153" t="s">
        <v>1073</v>
      </c>
      <c r="L24" s="153" t="s">
        <v>1073</v>
      </c>
      <c r="M24" s="153" t="s">
        <v>1073</v>
      </c>
      <c r="N24" s="136" t="s">
        <v>1073</v>
      </c>
      <c r="O24" s="136" t="s">
        <v>1073</v>
      </c>
      <c r="P24" s="153" t="s">
        <v>1073</v>
      </c>
      <c r="Q24" s="153" t="s">
        <v>1073</v>
      </c>
      <c r="R24" s="153" t="s">
        <v>1073</v>
      </c>
      <c r="S24" s="153" t="s">
        <v>1073</v>
      </c>
      <c r="T24" s="153" t="s">
        <v>1073</v>
      </c>
      <c r="U24" s="153" t="s">
        <v>1073</v>
      </c>
      <c r="V24" s="153" t="s">
        <v>1073</v>
      </c>
      <c r="W24" s="153" t="s">
        <v>1073</v>
      </c>
      <c r="X24" s="153" t="s">
        <v>1073</v>
      </c>
      <c r="Y24" s="153" t="s">
        <v>1073</v>
      </c>
      <c r="Z24" s="153" t="s">
        <v>1073</v>
      </c>
      <c r="AA24" s="573">
        <v>23</v>
      </c>
    </row>
    <row r="25" spans="1:27" ht="15">
      <c r="A25" s="137" t="s">
        <v>1073</v>
      </c>
      <c r="B25" s="134" t="s">
        <v>1095</v>
      </c>
      <c r="C25" s="134" t="s">
        <v>1095</v>
      </c>
      <c r="D25" s="134" t="s">
        <v>1095</v>
      </c>
      <c r="E25" s="134" t="s">
        <v>1095</v>
      </c>
      <c r="F25" s="134" t="s">
        <v>1095</v>
      </c>
      <c r="G25" s="134" t="s">
        <v>1095</v>
      </c>
      <c r="H25" s="134" t="s">
        <v>1095</v>
      </c>
      <c r="I25" s="217" t="s">
        <v>1095</v>
      </c>
      <c r="J25" s="217" t="s">
        <v>958</v>
      </c>
      <c r="K25" s="217" t="s">
        <v>1095</v>
      </c>
      <c r="L25" s="217" t="s">
        <v>958</v>
      </c>
      <c r="M25" s="217" t="s">
        <v>958</v>
      </c>
      <c r="N25" s="134" t="s">
        <v>1095</v>
      </c>
      <c r="O25" s="134" t="s">
        <v>1095</v>
      </c>
      <c r="P25" s="217" t="s">
        <v>958</v>
      </c>
      <c r="Q25" s="217" t="s">
        <v>958</v>
      </c>
      <c r="R25" s="217" t="s">
        <v>958</v>
      </c>
      <c r="S25" s="217" t="s">
        <v>958</v>
      </c>
      <c r="T25" s="217" t="s">
        <v>958</v>
      </c>
      <c r="U25" s="217" t="s">
        <v>958</v>
      </c>
      <c r="V25" s="217" t="s">
        <v>958</v>
      </c>
      <c r="W25" s="217" t="s">
        <v>958</v>
      </c>
      <c r="X25" s="217" t="s">
        <v>958</v>
      </c>
      <c r="Y25" s="217" t="s">
        <v>958</v>
      </c>
      <c r="Z25" s="217" t="s">
        <v>958</v>
      </c>
      <c r="AA25" s="573">
        <v>24</v>
      </c>
    </row>
    <row r="26" spans="1:27" ht="15">
      <c r="A26" s="137" t="s">
        <v>1073</v>
      </c>
      <c r="B26" s="134" t="s">
        <v>1216</v>
      </c>
      <c r="C26" s="134" t="s">
        <v>1216</v>
      </c>
      <c r="D26" s="134" t="s">
        <v>1216</v>
      </c>
      <c r="E26" s="134" t="s">
        <v>1216</v>
      </c>
      <c r="F26" s="134" t="s">
        <v>1216</v>
      </c>
      <c r="G26" s="134" t="s">
        <v>1216</v>
      </c>
      <c r="H26" s="134" t="s">
        <v>1216</v>
      </c>
      <c r="I26" s="217" t="s">
        <v>1216</v>
      </c>
      <c r="J26" s="217" t="s">
        <v>959</v>
      </c>
      <c r="K26" s="217" t="s">
        <v>1216</v>
      </c>
      <c r="L26" s="217" t="s">
        <v>959</v>
      </c>
      <c r="M26" s="217" t="s">
        <v>959</v>
      </c>
      <c r="N26" s="134" t="s">
        <v>1216</v>
      </c>
      <c r="O26" s="134" t="s">
        <v>1216</v>
      </c>
      <c r="P26" s="217" t="s">
        <v>959</v>
      </c>
      <c r="Q26" s="217" t="s">
        <v>959</v>
      </c>
      <c r="R26" s="217" t="s">
        <v>959</v>
      </c>
      <c r="S26" s="217" t="s">
        <v>959</v>
      </c>
      <c r="T26" s="217" t="s">
        <v>959</v>
      </c>
      <c r="U26" s="217" t="s">
        <v>959</v>
      </c>
      <c r="V26" s="217" t="s">
        <v>959</v>
      </c>
      <c r="W26" s="217" t="s">
        <v>959</v>
      </c>
      <c r="X26" s="217" t="s">
        <v>959</v>
      </c>
      <c r="Y26" s="217" t="s">
        <v>959</v>
      </c>
      <c r="Z26" s="217" t="s">
        <v>959</v>
      </c>
      <c r="AA26" s="573">
        <v>25</v>
      </c>
    </row>
    <row r="27" spans="1:27" ht="15">
      <c r="A27" s="137" t="s">
        <v>1073</v>
      </c>
      <c r="B27" s="217" t="s">
        <v>1441</v>
      </c>
      <c r="C27" s="217" t="s">
        <v>1441</v>
      </c>
      <c r="D27" s="217" t="s">
        <v>1441</v>
      </c>
      <c r="E27" s="217" t="s">
        <v>1441</v>
      </c>
      <c r="F27" s="217" t="s">
        <v>1441</v>
      </c>
      <c r="G27" s="217" t="s">
        <v>1441</v>
      </c>
      <c r="H27" s="217" t="s">
        <v>1441</v>
      </c>
      <c r="I27" s="217" t="s">
        <v>1441</v>
      </c>
      <c r="J27" s="217" t="s">
        <v>1439</v>
      </c>
      <c r="K27" s="217" t="s">
        <v>1441</v>
      </c>
      <c r="L27" s="217" t="s">
        <v>1439</v>
      </c>
      <c r="M27" s="217" t="s">
        <v>1439</v>
      </c>
      <c r="N27" s="217" t="s">
        <v>1441</v>
      </c>
      <c r="O27" s="217" t="s">
        <v>1441</v>
      </c>
      <c r="P27" s="217" t="s">
        <v>1439</v>
      </c>
      <c r="Q27" s="217" t="s">
        <v>1439</v>
      </c>
      <c r="R27" s="217" t="s">
        <v>1439</v>
      </c>
      <c r="S27" s="217" t="s">
        <v>1439</v>
      </c>
      <c r="T27" s="217" t="s">
        <v>1439</v>
      </c>
      <c r="U27" s="217" t="s">
        <v>1439</v>
      </c>
      <c r="V27" s="217" t="s">
        <v>1439</v>
      </c>
      <c r="W27" s="217" t="s">
        <v>1439</v>
      </c>
      <c r="X27" s="217" t="s">
        <v>1439</v>
      </c>
      <c r="Y27" s="217" t="s">
        <v>1439</v>
      </c>
      <c r="Z27" s="217" t="s">
        <v>1439</v>
      </c>
      <c r="AA27" s="573">
        <v>26</v>
      </c>
    </row>
    <row r="28" spans="1:27" ht="15">
      <c r="A28" s="133" t="s">
        <v>1073</v>
      </c>
      <c r="B28" s="217" t="s">
        <v>1442</v>
      </c>
      <c r="C28" s="217" t="s">
        <v>1442</v>
      </c>
      <c r="D28" s="217" t="s">
        <v>1442</v>
      </c>
      <c r="E28" s="217" t="s">
        <v>1442</v>
      </c>
      <c r="F28" s="217" t="s">
        <v>1442</v>
      </c>
      <c r="G28" s="217" t="s">
        <v>1442</v>
      </c>
      <c r="H28" s="217" t="s">
        <v>1442</v>
      </c>
      <c r="I28" s="217" t="s">
        <v>1442</v>
      </c>
      <c r="J28" s="217" t="s">
        <v>1440</v>
      </c>
      <c r="K28" s="217" t="s">
        <v>1442</v>
      </c>
      <c r="L28" s="217" t="s">
        <v>1440</v>
      </c>
      <c r="M28" s="217" t="s">
        <v>1440</v>
      </c>
      <c r="N28" s="217" t="s">
        <v>1442</v>
      </c>
      <c r="O28" s="217" t="s">
        <v>1442</v>
      </c>
      <c r="P28" s="217" t="s">
        <v>1440</v>
      </c>
      <c r="Q28" s="217" t="s">
        <v>1440</v>
      </c>
      <c r="R28" s="217" t="s">
        <v>1440</v>
      </c>
      <c r="S28" s="217" t="s">
        <v>1440</v>
      </c>
      <c r="T28" s="217" t="s">
        <v>1440</v>
      </c>
      <c r="U28" s="217" t="s">
        <v>1440</v>
      </c>
      <c r="V28" s="217" t="s">
        <v>1440</v>
      </c>
      <c r="W28" s="217" t="s">
        <v>1440</v>
      </c>
      <c r="X28" s="217" t="s">
        <v>1440</v>
      </c>
      <c r="Y28" s="217" t="s">
        <v>1440</v>
      </c>
      <c r="Z28" s="217" t="s">
        <v>1440</v>
      </c>
      <c r="AA28" s="573">
        <v>27</v>
      </c>
    </row>
    <row r="29" spans="1:27" ht="15">
      <c r="A29" s="133" t="s">
        <v>1073</v>
      </c>
      <c r="B29" s="136" t="s">
        <v>1073</v>
      </c>
      <c r="C29" s="136" t="s">
        <v>1073</v>
      </c>
      <c r="D29" s="217" t="s">
        <v>1445</v>
      </c>
      <c r="E29" s="136" t="s">
        <v>1073</v>
      </c>
      <c r="F29" s="217" t="s">
        <v>1445</v>
      </c>
      <c r="G29" s="217" t="s">
        <v>1445</v>
      </c>
      <c r="H29" s="217" t="s">
        <v>1445</v>
      </c>
      <c r="I29" s="217" t="s">
        <v>1445</v>
      </c>
      <c r="J29" s="217" t="s">
        <v>1443</v>
      </c>
      <c r="K29" s="153" t="s">
        <v>1073</v>
      </c>
      <c r="L29" s="217" t="s">
        <v>1443</v>
      </c>
      <c r="M29" s="217" t="s">
        <v>1443</v>
      </c>
      <c r="N29" s="217" t="s">
        <v>1445</v>
      </c>
      <c r="O29" s="217" t="s">
        <v>1445</v>
      </c>
      <c r="P29" s="217" t="s">
        <v>1443</v>
      </c>
      <c r="Q29" s="217" t="s">
        <v>1443</v>
      </c>
      <c r="R29" s="217" t="s">
        <v>1443</v>
      </c>
      <c r="S29" s="217" t="s">
        <v>1443</v>
      </c>
      <c r="T29" s="217" t="s">
        <v>1443</v>
      </c>
      <c r="U29" s="217" t="s">
        <v>1443</v>
      </c>
      <c r="V29" s="217" t="s">
        <v>1443</v>
      </c>
      <c r="W29" s="217" t="s">
        <v>1443</v>
      </c>
      <c r="X29" s="217" t="s">
        <v>1443</v>
      </c>
      <c r="Y29" s="217" t="s">
        <v>1443</v>
      </c>
      <c r="Z29" s="217" t="s">
        <v>1443</v>
      </c>
      <c r="AA29" s="573">
        <v>28</v>
      </c>
    </row>
    <row r="30" spans="1:27" ht="15">
      <c r="A30" s="133" t="s">
        <v>1073</v>
      </c>
      <c r="B30" s="136" t="s">
        <v>1073</v>
      </c>
      <c r="C30" s="136" t="s">
        <v>1073</v>
      </c>
      <c r="D30" s="217" t="s">
        <v>1446</v>
      </c>
      <c r="E30" s="136" t="s">
        <v>1073</v>
      </c>
      <c r="F30" s="217" t="s">
        <v>1446</v>
      </c>
      <c r="G30" s="217" t="s">
        <v>1446</v>
      </c>
      <c r="H30" s="217" t="s">
        <v>1446</v>
      </c>
      <c r="I30" s="217" t="s">
        <v>1446</v>
      </c>
      <c r="J30" s="217" t="s">
        <v>1444</v>
      </c>
      <c r="K30" s="153" t="s">
        <v>1073</v>
      </c>
      <c r="L30" s="217" t="s">
        <v>1444</v>
      </c>
      <c r="M30" s="217" t="s">
        <v>1444</v>
      </c>
      <c r="N30" s="217" t="s">
        <v>1446</v>
      </c>
      <c r="O30" s="217" t="s">
        <v>1446</v>
      </c>
      <c r="P30" s="217" t="s">
        <v>1444</v>
      </c>
      <c r="Q30" s="217" t="s">
        <v>1444</v>
      </c>
      <c r="R30" s="217" t="s">
        <v>1444</v>
      </c>
      <c r="S30" s="217" t="s">
        <v>1444</v>
      </c>
      <c r="T30" s="217" t="s">
        <v>1444</v>
      </c>
      <c r="U30" s="217" t="s">
        <v>1444</v>
      </c>
      <c r="V30" s="217" t="s">
        <v>1444</v>
      </c>
      <c r="W30" s="217" t="s">
        <v>1444</v>
      </c>
      <c r="X30" s="217" t="s">
        <v>1444</v>
      </c>
      <c r="Y30" s="217" t="s">
        <v>1444</v>
      </c>
      <c r="Z30" s="217" t="s">
        <v>1444</v>
      </c>
      <c r="AA30" s="573">
        <v>29</v>
      </c>
    </row>
    <row r="31" spans="1:27" ht="15">
      <c r="A31" s="133"/>
      <c r="B31" s="136" t="s">
        <v>1073</v>
      </c>
      <c r="C31" s="136" t="s">
        <v>1073</v>
      </c>
      <c r="D31" s="217" t="s">
        <v>1449</v>
      </c>
      <c r="E31" s="136" t="s">
        <v>1073</v>
      </c>
      <c r="F31" s="217" t="s">
        <v>1449</v>
      </c>
      <c r="G31" s="217" t="s">
        <v>1449</v>
      </c>
      <c r="H31" s="217" t="s">
        <v>1449</v>
      </c>
      <c r="I31" s="217" t="s">
        <v>1449</v>
      </c>
      <c r="J31" s="217" t="s">
        <v>1447</v>
      </c>
      <c r="K31" s="153" t="s">
        <v>1073</v>
      </c>
      <c r="L31" s="217" t="s">
        <v>1447</v>
      </c>
      <c r="M31" s="217" t="s">
        <v>1447</v>
      </c>
      <c r="N31" s="217" t="s">
        <v>1449</v>
      </c>
      <c r="O31" s="217" t="s">
        <v>1449</v>
      </c>
      <c r="P31" s="217" t="s">
        <v>1447</v>
      </c>
      <c r="Q31" s="217" t="s">
        <v>1447</v>
      </c>
      <c r="R31" s="217" t="s">
        <v>1447</v>
      </c>
      <c r="S31" s="217" t="s">
        <v>1447</v>
      </c>
      <c r="T31" s="217" t="s">
        <v>1447</v>
      </c>
      <c r="U31" s="217" t="s">
        <v>1447</v>
      </c>
      <c r="V31" s="217" t="s">
        <v>1447</v>
      </c>
      <c r="W31" s="217" t="s">
        <v>1447</v>
      </c>
      <c r="X31" s="217" t="s">
        <v>1447</v>
      </c>
      <c r="Y31" s="217" t="s">
        <v>1447</v>
      </c>
      <c r="Z31" s="217" t="s">
        <v>1447</v>
      </c>
      <c r="AA31" s="573">
        <v>30</v>
      </c>
    </row>
    <row r="32" spans="1:27" ht="15">
      <c r="A32" s="133"/>
      <c r="B32" s="136" t="s">
        <v>1073</v>
      </c>
      <c r="C32" s="136" t="s">
        <v>1073</v>
      </c>
      <c r="D32" s="217" t="s">
        <v>1450</v>
      </c>
      <c r="E32" s="136" t="s">
        <v>1073</v>
      </c>
      <c r="F32" s="217" t="s">
        <v>1450</v>
      </c>
      <c r="G32" s="217" t="s">
        <v>1450</v>
      </c>
      <c r="H32" s="217" t="s">
        <v>1450</v>
      </c>
      <c r="I32" s="217" t="s">
        <v>1450</v>
      </c>
      <c r="J32" s="217" t="s">
        <v>1448</v>
      </c>
      <c r="K32" s="153" t="s">
        <v>1073</v>
      </c>
      <c r="L32" s="217" t="s">
        <v>1448</v>
      </c>
      <c r="M32" s="217" t="s">
        <v>1448</v>
      </c>
      <c r="N32" s="217" t="s">
        <v>1450</v>
      </c>
      <c r="O32" s="217" t="s">
        <v>1450</v>
      </c>
      <c r="P32" s="217" t="s">
        <v>1448</v>
      </c>
      <c r="Q32" s="217" t="s">
        <v>1448</v>
      </c>
      <c r="R32" s="217" t="s">
        <v>1448</v>
      </c>
      <c r="S32" s="217" t="s">
        <v>1448</v>
      </c>
      <c r="T32" s="217" t="s">
        <v>1448</v>
      </c>
      <c r="U32" s="217" t="s">
        <v>1448</v>
      </c>
      <c r="V32" s="217" t="s">
        <v>1448</v>
      </c>
      <c r="W32" s="217" t="s">
        <v>1448</v>
      </c>
      <c r="X32" s="217" t="s">
        <v>1448</v>
      </c>
      <c r="Y32" s="217" t="s">
        <v>1448</v>
      </c>
      <c r="Z32" s="217" t="s">
        <v>1448</v>
      </c>
      <c r="AA32" s="573">
        <v>31</v>
      </c>
    </row>
    <row r="33" spans="1:27" ht="15">
      <c r="A33" s="133"/>
      <c r="B33" s="136" t="s">
        <v>1073</v>
      </c>
      <c r="C33" s="136" t="s">
        <v>1073</v>
      </c>
      <c r="D33" s="136" t="s">
        <v>1073</v>
      </c>
      <c r="E33" s="136" t="s">
        <v>1073</v>
      </c>
      <c r="F33" s="225" t="s">
        <v>1073</v>
      </c>
      <c r="G33" s="225" t="s">
        <v>1073</v>
      </c>
      <c r="H33" s="225" t="s">
        <v>1073</v>
      </c>
      <c r="I33" s="225" t="s">
        <v>1073</v>
      </c>
      <c r="J33" s="225" t="s">
        <v>1073</v>
      </c>
      <c r="K33" s="153" t="s">
        <v>1073</v>
      </c>
      <c r="L33" s="225" t="s">
        <v>1073</v>
      </c>
      <c r="M33" s="225" t="s">
        <v>1073</v>
      </c>
      <c r="N33" s="225" t="s">
        <v>1073</v>
      </c>
      <c r="O33" s="225" t="s">
        <v>1073</v>
      </c>
      <c r="P33" s="225" t="s">
        <v>1073</v>
      </c>
      <c r="Q33" s="225" t="s">
        <v>1073</v>
      </c>
      <c r="R33" s="225" t="s">
        <v>1073</v>
      </c>
      <c r="S33" s="225" t="s">
        <v>1073</v>
      </c>
      <c r="T33" s="225" t="s">
        <v>1073</v>
      </c>
      <c r="U33" s="225" t="s">
        <v>1073</v>
      </c>
      <c r="V33" s="225" t="s">
        <v>1073</v>
      </c>
      <c r="W33" s="225" t="s">
        <v>1073</v>
      </c>
      <c r="X33" s="225" t="s">
        <v>1073</v>
      </c>
      <c r="Y33" s="225" t="s">
        <v>1073</v>
      </c>
      <c r="Z33" s="225" t="s">
        <v>1073</v>
      </c>
      <c r="AA33" s="573">
        <v>32</v>
      </c>
    </row>
    <row r="34" spans="1:27" ht="15">
      <c r="A34" s="133"/>
      <c r="B34" s="136" t="s">
        <v>1073</v>
      </c>
      <c r="C34" s="136" t="s">
        <v>1073</v>
      </c>
      <c r="D34" s="136" t="s">
        <v>1073</v>
      </c>
      <c r="E34" s="136" t="s">
        <v>1073</v>
      </c>
      <c r="F34" s="225" t="s">
        <v>1073</v>
      </c>
      <c r="G34" s="225" t="s">
        <v>1073</v>
      </c>
      <c r="H34" s="225" t="s">
        <v>1073</v>
      </c>
      <c r="I34" s="225" t="s">
        <v>1073</v>
      </c>
      <c r="J34" s="225" t="s">
        <v>1073</v>
      </c>
      <c r="K34" s="153" t="s">
        <v>1073</v>
      </c>
      <c r="L34" s="225" t="s">
        <v>1073</v>
      </c>
      <c r="M34" s="225" t="s">
        <v>1073</v>
      </c>
      <c r="N34" s="225" t="s">
        <v>1073</v>
      </c>
      <c r="O34" s="225" t="s">
        <v>1073</v>
      </c>
      <c r="P34" s="225" t="s">
        <v>1073</v>
      </c>
      <c r="Q34" s="225" t="s">
        <v>1073</v>
      </c>
      <c r="R34" s="225" t="s">
        <v>1073</v>
      </c>
      <c r="S34" s="225" t="s">
        <v>1073</v>
      </c>
      <c r="T34" s="225" t="s">
        <v>1073</v>
      </c>
      <c r="U34" s="225" t="s">
        <v>1073</v>
      </c>
      <c r="V34" s="225" t="s">
        <v>1073</v>
      </c>
      <c r="W34" s="225" t="s">
        <v>1073</v>
      </c>
      <c r="X34" s="225" t="s">
        <v>1073</v>
      </c>
      <c r="Y34" s="225" t="s">
        <v>1073</v>
      </c>
      <c r="Z34" s="225" t="s">
        <v>1073</v>
      </c>
      <c r="AA34" s="573">
        <v>33</v>
      </c>
    </row>
    <row r="35" spans="1:27" ht="15">
      <c r="A35" s="135" t="s">
        <v>1205</v>
      </c>
      <c r="B35" s="136" t="s">
        <v>1073</v>
      </c>
      <c r="C35" s="136" t="s">
        <v>1073</v>
      </c>
      <c r="D35" s="136" t="s">
        <v>1073</v>
      </c>
      <c r="E35" s="136" t="s">
        <v>1073</v>
      </c>
      <c r="F35" s="136" t="s">
        <v>1073</v>
      </c>
      <c r="G35" s="136" t="s">
        <v>1073</v>
      </c>
      <c r="H35" s="136" t="s">
        <v>1073</v>
      </c>
      <c r="I35" s="153" t="s">
        <v>1073</v>
      </c>
      <c r="J35" s="153" t="s">
        <v>1073</v>
      </c>
      <c r="K35" s="153" t="s">
        <v>1073</v>
      </c>
      <c r="L35" s="153" t="s">
        <v>1073</v>
      </c>
      <c r="M35" s="153" t="s">
        <v>1073</v>
      </c>
      <c r="N35" s="136" t="s">
        <v>1073</v>
      </c>
      <c r="O35" s="136" t="s">
        <v>1073</v>
      </c>
      <c r="P35" s="153" t="s">
        <v>1073</v>
      </c>
      <c r="Q35" s="153" t="s">
        <v>1073</v>
      </c>
      <c r="R35" s="153" t="s">
        <v>1073</v>
      </c>
      <c r="S35" s="153" t="s">
        <v>1073</v>
      </c>
      <c r="T35" s="153" t="s">
        <v>1073</v>
      </c>
      <c r="U35" s="153" t="s">
        <v>1073</v>
      </c>
      <c r="V35" s="153" t="s">
        <v>1073</v>
      </c>
      <c r="W35" s="153" t="s">
        <v>1073</v>
      </c>
      <c r="X35" s="153" t="s">
        <v>1073</v>
      </c>
      <c r="Y35" s="153" t="s">
        <v>1073</v>
      </c>
      <c r="Z35" s="153" t="s">
        <v>1073</v>
      </c>
      <c r="AA35" s="573">
        <v>34</v>
      </c>
    </row>
    <row r="36" spans="1:27" ht="15">
      <c r="A36" s="137" t="s">
        <v>1073</v>
      </c>
      <c r="B36" s="138" t="str">
        <f>IF(Configurator!$T$5="*","*","G")</f>
        <v>G</v>
      </c>
      <c r="C36" s="138" t="str">
        <f>IF(Configurator!$T$5="*","*","G")</f>
        <v>G</v>
      </c>
      <c r="D36" s="138" t="str">
        <f>IF(Configurator!$T$5="*","*","H")</f>
        <v>H</v>
      </c>
      <c r="E36" s="138" t="str">
        <f>IF(Configurator!$T$5="*","*","G")</f>
        <v>G</v>
      </c>
      <c r="F36" s="138" t="str">
        <f>IF(Configurator!$T$5="*","*","H")</f>
        <v>H</v>
      </c>
      <c r="G36" s="138" t="str">
        <f>IF(Configurator!$T$5="*","*","I")</f>
        <v>I</v>
      </c>
      <c r="H36" s="138" t="str">
        <f>IF(Configurator!$T$5="*","*","H")</f>
        <v>H</v>
      </c>
      <c r="I36" s="227" t="str">
        <f>IF(Configurator!$T$5="*","*","J")</f>
        <v>J</v>
      </c>
      <c r="J36" s="227" t="str">
        <f>IF(Configurator!$T$5="*","*","K")</f>
        <v>K</v>
      </c>
      <c r="K36" s="227" t="str">
        <f>IF(Configurator!$T$5="*","*","G")</f>
        <v>G</v>
      </c>
      <c r="L36" s="227" t="str">
        <f>IF(Configurator!$T$5="*","*","L")</f>
        <v>L</v>
      </c>
      <c r="M36" s="227" t="str">
        <f>IF(Configurator!$T$5="*","*","L")</f>
        <v>L</v>
      </c>
      <c r="N36" s="138" t="str">
        <f>IF(Configurator!$T$5="*","*","H")</f>
        <v>H</v>
      </c>
      <c r="O36" s="138" t="str">
        <f>IF(Configurator!$T$5="*","*","H")</f>
        <v>H</v>
      </c>
      <c r="P36" s="227" t="str">
        <f>IF(Configurator!$T$5="*","*","L")</f>
        <v>L</v>
      </c>
      <c r="Q36" s="227" t="str">
        <f>IF(Configurator!$T$5="*","*","L")</f>
        <v>L</v>
      </c>
      <c r="R36" s="227" t="str">
        <f>IF(Configurator!$T$5="*","*","L")</f>
        <v>L</v>
      </c>
      <c r="S36" s="227" t="str">
        <f>IF(Configurator!$T$5="*","*","L")</f>
        <v>L</v>
      </c>
      <c r="T36" s="227" t="str">
        <f>IF(Configurator!$T$5="*","*","M")</f>
        <v>M</v>
      </c>
      <c r="U36" s="227" t="str">
        <f>IF(Configurator!$T$5="*","*","M")</f>
        <v>M</v>
      </c>
      <c r="V36" s="227" t="str">
        <f>IF(Configurator!$T$5="*","*","M")</f>
        <v>M</v>
      </c>
      <c r="W36" s="227" t="str">
        <f>IF(Configurator!$T$5="*","*","M")</f>
        <v>M</v>
      </c>
      <c r="X36" s="227" t="str">
        <f>IF(Configurator!$T$5="*","*","L")</f>
        <v>L</v>
      </c>
      <c r="Y36" s="227" t="str">
        <f>IF(Configurator!$T$5="*","*","N")</f>
        <v>N</v>
      </c>
      <c r="Z36" s="227" t="str">
        <f>IF(Configurator!$T$5="*","*","O")</f>
        <v>O</v>
      </c>
      <c r="AA36" s="573">
        <v>35</v>
      </c>
    </row>
    <row r="37" spans="1:27" ht="15">
      <c r="A37" s="133" t="s">
        <v>1073</v>
      </c>
      <c r="B37" s="138" t="str">
        <f>IF(Configurator!$T$5="*","-3**","-307")</f>
        <v>-307</v>
      </c>
      <c r="C37" s="138" t="str">
        <f>IF(Configurator!$T$5="*","-3**","-307")</f>
        <v>-307</v>
      </c>
      <c r="D37" s="138" t="str">
        <f>IF(Configurator!$T$5="*","-3**","-308")</f>
        <v>-308</v>
      </c>
      <c r="E37" s="138" t="str">
        <f>IF(Configurator!$T$5="*","-3**","-307")</f>
        <v>-307</v>
      </c>
      <c r="F37" s="138" t="str">
        <f>IF(Configurator!$T$5="*","-3**","-308")</f>
        <v>-308</v>
      </c>
      <c r="G37" s="138" t="str">
        <f>IF(Configurator!$T$5="*","-3**","-309")</f>
        <v>-309</v>
      </c>
      <c r="H37" s="138" t="str">
        <f>IF(Configurator!$T$5="*","-3**","-308")</f>
        <v>-308</v>
      </c>
      <c r="I37" s="227" t="str">
        <f>IF(Configurator!$T$5="*","-3**","-310")</f>
        <v>-310</v>
      </c>
      <c r="J37" s="227" t="str">
        <f>IF(Configurator!$T$5="*","-3**","-311")</f>
        <v>-311</v>
      </c>
      <c r="K37" s="227" t="str">
        <f>IF(Configurator!$T$5="*","-3**","-307")</f>
        <v>-307</v>
      </c>
      <c r="L37" s="227" t="str">
        <f>IF(Configurator!$T$5="*","-3**","-312")</f>
        <v>-312</v>
      </c>
      <c r="M37" s="227" t="str">
        <f>IF(Configurator!$T$5="*","-3**","-312")</f>
        <v>-312</v>
      </c>
      <c r="N37" s="138" t="str">
        <f>IF(Configurator!$T$5="*","-3**","-308")</f>
        <v>-308</v>
      </c>
      <c r="O37" s="138" t="str">
        <f>IF(Configurator!$T$5="*","-3**","-308")</f>
        <v>-308</v>
      </c>
      <c r="P37" s="227" t="str">
        <f>IF(Configurator!$T$5="*","-3**","-312")</f>
        <v>-312</v>
      </c>
      <c r="Q37" s="227" t="str">
        <f>IF(Configurator!$T$5="*","-3**","-312")</f>
        <v>-312</v>
      </c>
      <c r="R37" s="227" t="str">
        <f>IF(Configurator!$T$5="*","-3**","-312")</f>
        <v>-312</v>
      </c>
      <c r="S37" s="227" t="str">
        <f>IF(Configurator!$T$5="*","-3**","-312")</f>
        <v>-312</v>
      </c>
      <c r="T37" s="227" t="str">
        <f>IF(Configurator!$T$5="*","-3**","-313")</f>
        <v>-313</v>
      </c>
      <c r="U37" s="227" t="str">
        <f>IF(Configurator!$T$5="*","-3**","-313")</f>
        <v>-313</v>
      </c>
      <c r="V37" s="227" t="str">
        <f>IF(Configurator!$T$5="*","-3**","-313")</f>
        <v>-313</v>
      </c>
      <c r="W37" s="227" t="str">
        <f>IF(Configurator!$T$5="*","-3**","-313")</f>
        <v>-313</v>
      </c>
      <c r="X37" s="227" t="str">
        <f>IF(Configurator!$T$5="*","-3**","-312")</f>
        <v>-312</v>
      </c>
      <c r="Y37" s="227" t="str">
        <f>IF(Configurator!$T$5="*","-3**","-314")</f>
        <v>-314</v>
      </c>
      <c r="Z37" s="227" t="str">
        <f>IF(Configurator!$T$5="*","-3**","-315")</f>
        <v>-315</v>
      </c>
      <c r="AA37" s="573">
        <v>36</v>
      </c>
    </row>
    <row r="38" spans="1:27" ht="15">
      <c r="A38" s="135" t="s">
        <v>1097</v>
      </c>
      <c r="B38" s="153" t="s">
        <v>1073</v>
      </c>
      <c r="C38" s="153" t="s">
        <v>1073</v>
      </c>
      <c r="D38" s="153" t="s">
        <v>1073</v>
      </c>
      <c r="E38" s="153" t="s">
        <v>1073</v>
      </c>
      <c r="F38" s="153" t="s">
        <v>1073</v>
      </c>
      <c r="G38" s="153" t="s">
        <v>1073</v>
      </c>
      <c r="H38" s="153" t="s">
        <v>1073</v>
      </c>
      <c r="I38" s="153" t="s">
        <v>1073</v>
      </c>
      <c r="J38" s="153" t="s">
        <v>1073</v>
      </c>
      <c r="K38" s="153" t="s">
        <v>1073</v>
      </c>
      <c r="L38" s="153" t="s">
        <v>1073</v>
      </c>
      <c r="M38" s="153" t="s">
        <v>1073</v>
      </c>
      <c r="N38" s="153" t="s">
        <v>1073</v>
      </c>
      <c r="O38" s="153" t="s">
        <v>1073</v>
      </c>
      <c r="P38" s="153" t="s">
        <v>1073</v>
      </c>
      <c r="Q38" s="153" t="s">
        <v>1073</v>
      </c>
      <c r="R38" s="153" t="s">
        <v>1073</v>
      </c>
      <c r="S38" s="153" t="s">
        <v>1073</v>
      </c>
      <c r="T38" s="153" t="s">
        <v>1073</v>
      </c>
      <c r="U38" s="153" t="s">
        <v>1073</v>
      </c>
      <c r="V38" s="153" t="s">
        <v>1073</v>
      </c>
      <c r="W38" s="153" t="s">
        <v>1073</v>
      </c>
      <c r="X38" s="153" t="s">
        <v>1073</v>
      </c>
      <c r="Y38" s="153" t="s">
        <v>1073</v>
      </c>
      <c r="Z38" s="153" t="s">
        <v>1073</v>
      </c>
      <c r="AA38" s="573">
        <v>37</v>
      </c>
    </row>
    <row r="39" spans="1:27" ht="15">
      <c r="A39" s="137" t="s">
        <v>1073</v>
      </c>
      <c r="B39" s="138" t="str">
        <f>IF(Configurator!$T$5="*","-4**","-411")</f>
        <v>-411</v>
      </c>
      <c r="C39" s="138" t="str">
        <f>IF(Configurator!$T$5="*","-4**","-411")</f>
        <v>-411</v>
      </c>
      <c r="D39" s="138" t="str">
        <f>IF(Configurator!$T$5="*","-4**","-414")</f>
        <v>-414</v>
      </c>
      <c r="E39" s="138" t="str">
        <f>IF(Configurator!$T$5="*","-4**","-411")</f>
        <v>-411</v>
      </c>
      <c r="F39" s="138" t="str">
        <f>IF(Configurator!$T$5="*","-4**","-414")</f>
        <v>-414</v>
      </c>
      <c r="G39" s="138" t="str">
        <f>IF(Configurator!$T$5="*","-4**","-414")</f>
        <v>-414</v>
      </c>
      <c r="H39" s="138" t="str">
        <f>IF(Configurator!$T$5="*","-4**","-414")</f>
        <v>-414</v>
      </c>
      <c r="I39" s="227" t="str">
        <f>IF(Configurator!$T$5="*","-4**","-417")</f>
        <v>-417</v>
      </c>
      <c r="J39" s="227" t="str">
        <f>IF(Configurator!$T$5="*","-4**","-417")</f>
        <v>-417</v>
      </c>
      <c r="K39" s="227" t="str">
        <f>IF(Configurator!$T$5="*","-4**","-411")</f>
        <v>-411</v>
      </c>
      <c r="L39" s="227" t="str">
        <f>IF(Configurator!$T$5="*","-4**","-420")</f>
        <v>-420</v>
      </c>
      <c r="M39" s="227" t="str">
        <f>IF(Configurator!$T$5="*","-4**","-420")</f>
        <v>-420</v>
      </c>
      <c r="N39" s="138" t="str">
        <f>IF(Configurator!$T$5="*","-4**","-414")</f>
        <v>-414</v>
      </c>
      <c r="O39" s="138" t="str">
        <f>IF(Configurator!$T$5="*","-4**","-414")</f>
        <v>-414</v>
      </c>
      <c r="P39" s="227" t="str">
        <f>IF(Configurator!$T$5="*","-4**","-420")</f>
        <v>-420</v>
      </c>
      <c r="Q39" s="227" t="str">
        <f>IF(Configurator!$T$5="*","-4**","-420")</f>
        <v>-420</v>
      </c>
      <c r="R39" s="227" t="str">
        <f>IF(Configurator!$T$5="*","-4**","-420")</f>
        <v>-420</v>
      </c>
      <c r="S39" s="227" t="str">
        <f>IF(Configurator!$T$5="*","-4**","-420")</f>
        <v>-420</v>
      </c>
      <c r="T39" s="227" t="str">
        <f>IF(Configurator!$T$5="*","-4**","-420")</f>
        <v>-420</v>
      </c>
      <c r="U39" s="227" t="str">
        <f>IF(Configurator!$T$5="*","-4**","-420")</f>
        <v>-420</v>
      </c>
      <c r="V39" s="227" t="str">
        <f>IF(Configurator!$T$5="*","-4**","-420")</f>
        <v>-420</v>
      </c>
      <c r="W39" s="227" t="str">
        <f>IF(Configurator!$T$5="*","-4**","-420")</f>
        <v>-420</v>
      </c>
      <c r="X39" s="227" t="str">
        <f>IF(Configurator!$T$5="*","-4**","-420")</f>
        <v>-420</v>
      </c>
      <c r="Y39" s="227" t="str">
        <f>IF(Configurator!$T$5="*","-4**","-420")</f>
        <v>-420</v>
      </c>
      <c r="Z39" s="227" t="str">
        <f>IF(Configurator!$T$5="*","-4**","-423")</f>
        <v>-423</v>
      </c>
      <c r="AA39" s="573">
        <v>38</v>
      </c>
    </row>
    <row r="40" spans="1:27" ht="15">
      <c r="A40" s="137" t="s">
        <v>1073</v>
      </c>
      <c r="B40" s="138" t="str">
        <f>IF(Configurator!$T$5="*","*","K")</f>
        <v>K</v>
      </c>
      <c r="C40" s="138" t="str">
        <f>IF(Configurator!$T$5="*","*","K")</f>
        <v>K</v>
      </c>
      <c r="D40" s="138" t="str">
        <f>IF(Configurator!$T$5="*","*","N")</f>
        <v>N</v>
      </c>
      <c r="E40" s="138" t="str">
        <f>IF(Configurator!$T$5="*","*","K")</f>
        <v>K</v>
      </c>
      <c r="F40" s="138" t="str">
        <f>IF(Configurator!$T$5="*","*","N")</f>
        <v>N</v>
      </c>
      <c r="G40" s="138" t="str">
        <f>IF(Configurator!$T$5="*","*","N")</f>
        <v>N</v>
      </c>
      <c r="H40" s="138" t="str">
        <f>IF(Configurator!$T$5="*","*","N")</f>
        <v>N</v>
      </c>
      <c r="I40" s="227" t="str">
        <f>IF(Configurator!$T$5="*","*","Q")</f>
        <v>Q</v>
      </c>
      <c r="J40" s="227" t="str">
        <f>IF(Configurator!$T$5="*","*","Q")</f>
        <v>Q</v>
      </c>
      <c r="K40" s="227" t="str">
        <f>IF(Configurator!$T$5="*","*","K")</f>
        <v>K</v>
      </c>
      <c r="L40" s="227" t="str">
        <f>IF(Configurator!$T$5="*","*","T")</f>
        <v>T</v>
      </c>
      <c r="M40" s="227" t="str">
        <f>IF(Configurator!$T$5="*","*","T")</f>
        <v>T</v>
      </c>
      <c r="N40" s="138" t="str">
        <f>IF(Configurator!$T$5="*","*","N")</f>
        <v>N</v>
      </c>
      <c r="O40" s="138" t="str">
        <f>IF(Configurator!$T$5="*","*","N")</f>
        <v>N</v>
      </c>
      <c r="P40" s="227" t="str">
        <f>IF(Configurator!$T$5="*","*","T")</f>
        <v>T</v>
      </c>
      <c r="Q40" s="227" t="str">
        <f>IF(Configurator!$T$5="*","*","T")</f>
        <v>T</v>
      </c>
      <c r="R40" s="227" t="str">
        <f>IF(Configurator!$T$5="*","*","T")</f>
        <v>T</v>
      </c>
      <c r="S40" s="227" t="str">
        <f>IF(Configurator!$T$5="*","*","T")</f>
        <v>T</v>
      </c>
      <c r="T40" s="227" t="str">
        <f>IF(Configurator!$T$5="*","*","T")</f>
        <v>T</v>
      </c>
      <c r="U40" s="227" t="str">
        <f>IF(Configurator!$T$5="*","*","T")</f>
        <v>T</v>
      </c>
      <c r="V40" s="227" t="str">
        <f>IF(Configurator!$T$5="*","*","T")</f>
        <v>T</v>
      </c>
      <c r="W40" s="227" t="str">
        <f>IF(Configurator!$T$5="*","*","T")</f>
        <v>T</v>
      </c>
      <c r="X40" s="227" t="str">
        <f>IF(Configurator!$T$5="*","*","T")</f>
        <v>T</v>
      </c>
      <c r="Y40" s="227" t="str">
        <f>IF(Configurator!$T$5="*","*","T")</f>
        <v>T</v>
      </c>
      <c r="Z40" s="227" t="str">
        <f>IF(Configurator!$T$5="*","*","W")</f>
        <v>W</v>
      </c>
      <c r="AA40" s="573">
        <v>39</v>
      </c>
    </row>
    <row r="41" spans="1:27" ht="15">
      <c r="A41" s="133" t="s">
        <v>1073</v>
      </c>
      <c r="B41" s="138" t="str">
        <f>IF(Configurator!$T$5="*","-4**","-412")</f>
        <v>-412</v>
      </c>
      <c r="C41" s="138" t="str">
        <f>IF(Configurator!$T$5="*","-4**","-412")</f>
        <v>-412</v>
      </c>
      <c r="D41" s="138" t="str">
        <f>IF(Configurator!$T$5="*","-4**","-415")</f>
        <v>-415</v>
      </c>
      <c r="E41" s="138" t="str">
        <f>IF(Configurator!$T$5="*","-4**","-412")</f>
        <v>-412</v>
      </c>
      <c r="F41" s="138" t="str">
        <f>IF(Configurator!$T$5="*","-4**","-415")</f>
        <v>-415</v>
      </c>
      <c r="G41" s="138" t="str">
        <f>IF(Configurator!$T$5="*","-4**","-415")</f>
        <v>-415</v>
      </c>
      <c r="H41" s="138" t="str">
        <f>IF(Configurator!$T$5="*","-4**","-415")</f>
        <v>-415</v>
      </c>
      <c r="I41" s="227" t="str">
        <f>IF(Configurator!$T$5="*","-4**","-418")</f>
        <v>-418</v>
      </c>
      <c r="J41" s="227" t="str">
        <f>IF(Configurator!$T$5="*","-4**","-418")</f>
        <v>-418</v>
      </c>
      <c r="K41" s="227" t="str">
        <f>IF(Configurator!$T$5="*","-4**","-412")</f>
        <v>-412</v>
      </c>
      <c r="L41" s="227" t="str">
        <f>IF(Configurator!$T$5="*","-4**","-421")</f>
        <v>-421</v>
      </c>
      <c r="M41" s="227" t="str">
        <f>IF(Configurator!$T$5="*","-4**","-421")</f>
        <v>-421</v>
      </c>
      <c r="N41" s="138" t="str">
        <f>IF(Configurator!$T$5="*","-4**","-415")</f>
        <v>-415</v>
      </c>
      <c r="O41" s="138" t="str">
        <f>IF(Configurator!$T$5="*","-4**","-415")</f>
        <v>-415</v>
      </c>
      <c r="P41" s="227" t="str">
        <f>IF(Configurator!$T$5="*","-4**","-421")</f>
        <v>-421</v>
      </c>
      <c r="Q41" s="227" t="str">
        <f>IF(Configurator!$T$5="*","-4**","-421")</f>
        <v>-421</v>
      </c>
      <c r="R41" s="227" t="str">
        <f>IF(Configurator!$T$5="*","-4**","-421")</f>
        <v>-421</v>
      </c>
      <c r="S41" s="227" t="str">
        <f>IF(Configurator!$T$5="*","-4**","-421")</f>
        <v>-421</v>
      </c>
      <c r="T41" s="227" t="str">
        <f>IF(Configurator!$T$5="*","-4**","-421")</f>
        <v>-421</v>
      </c>
      <c r="U41" s="227" t="str">
        <f>IF(Configurator!$T$5="*","-4**","-421")</f>
        <v>-421</v>
      </c>
      <c r="V41" s="227" t="str">
        <f>IF(Configurator!$T$5="*","-4**","-421")</f>
        <v>-421</v>
      </c>
      <c r="W41" s="227" t="str">
        <f>IF(Configurator!$T$5="*","-4**","-421")</f>
        <v>-421</v>
      </c>
      <c r="X41" s="227" t="str">
        <f>IF(Configurator!$T$5="*","-4**","-421")</f>
        <v>-421</v>
      </c>
      <c r="Y41" s="227" t="str">
        <f>IF(Configurator!$T$5="*","-4**","-421")</f>
        <v>-421</v>
      </c>
      <c r="Z41" s="227" t="str">
        <f>IF(Configurator!$T$5="*","-4**","-424")</f>
        <v>-424</v>
      </c>
      <c r="AA41" s="573">
        <v>40</v>
      </c>
    </row>
    <row r="42" spans="1:27" ht="15">
      <c r="A42" s="133" t="s">
        <v>1073</v>
      </c>
      <c r="B42" s="138" t="str">
        <f>IF(Configurator!$T$5="*","*","L")</f>
        <v>L</v>
      </c>
      <c r="C42" s="138" t="str">
        <f>IF(Configurator!$T$5="*","*","L")</f>
        <v>L</v>
      </c>
      <c r="D42" s="138" t="str">
        <f>IF(Configurator!$T$5="*","*","O")</f>
        <v>O</v>
      </c>
      <c r="E42" s="138" t="str">
        <f>IF(Configurator!$T$5="*","*","L")</f>
        <v>L</v>
      </c>
      <c r="F42" s="138" t="str">
        <f>IF(Configurator!$T$5="*","*","O")</f>
        <v>O</v>
      </c>
      <c r="G42" s="138" t="str">
        <f>IF(Configurator!$T$5="*","*","O")</f>
        <v>O</v>
      </c>
      <c r="H42" s="138" t="str">
        <f>IF(Configurator!$T$5="*","*","O")</f>
        <v>O</v>
      </c>
      <c r="I42" s="227" t="str">
        <f>IF(Configurator!$T$5="*","*","R")</f>
        <v>R</v>
      </c>
      <c r="J42" s="227" t="str">
        <f>IF(Configurator!$T$5="*","*","R")</f>
        <v>R</v>
      </c>
      <c r="K42" s="227" t="str">
        <f>IF(Configurator!$T$5="*","*","L")</f>
        <v>L</v>
      </c>
      <c r="L42" s="227" t="str">
        <f>IF(Configurator!$T$5="*","*","U")</f>
        <v>U</v>
      </c>
      <c r="M42" s="227" t="str">
        <f>IF(Configurator!$T$5="*","*","U")</f>
        <v>U</v>
      </c>
      <c r="N42" s="138" t="str">
        <f>IF(Configurator!$T$5="*","*","O")</f>
        <v>O</v>
      </c>
      <c r="O42" s="138" t="str">
        <f>IF(Configurator!$T$5="*","*","O")</f>
        <v>O</v>
      </c>
      <c r="P42" s="227" t="str">
        <f>IF(Configurator!$T$5="*","*","U")</f>
        <v>U</v>
      </c>
      <c r="Q42" s="227" t="str">
        <f>IF(Configurator!$T$5="*","*","U")</f>
        <v>U</v>
      </c>
      <c r="R42" s="227" t="str">
        <f>IF(Configurator!$T$5="*","*","U")</f>
        <v>U</v>
      </c>
      <c r="S42" s="227" t="str">
        <f>IF(Configurator!$T$5="*","*","U")</f>
        <v>U</v>
      </c>
      <c r="T42" s="227" t="str">
        <f>IF(Configurator!$T$5="*","*","U")</f>
        <v>U</v>
      </c>
      <c r="U42" s="227" t="str">
        <f>IF(Configurator!$T$5="*","*","U")</f>
        <v>U</v>
      </c>
      <c r="V42" s="227" t="str">
        <f>IF(Configurator!$T$5="*","*","U")</f>
        <v>U</v>
      </c>
      <c r="W42" s="227" t="str">
        <f>IF(Configurator!$T$5="*","*","U")</f>
        <v>U</v>
      </c>
      <c r="X42" s="227" t="str">
        <f>IF(Configurator!$T$5="*","*","U")</f>
        <v>U</v>
      </c>
      <c r="Y42" s="227" t="str">
        <f>IF(Configurator!$T$5="*","*","U")</f>
        <v>U</v>
      </c>
      <c r="Z42" s="227" t="str">
        <f>IF(Configurator!$T$5="*","*","X")</f>
        <v>X</v>
      </c>
      <c r="AA42" s="573">
        <v>41</v>
      </c>
    </row>
    <row r="43" spans="1:27" ht="15">
      <c r="A43" s="133" t="s">
        <v>1073</v>
      </c>
      <c r="B43" s="138" t="str">
        <f>IF(Configurator!$T$5="*","-4**","-413")</f>
        <v>-413</v>
      </c>
      <c r="C43" s="138" t="str">
        <f>IF(Configurator!$T$5="*","-4**","-413")</f>
        <v>-413</v>
      </c>
      <c r="D43" s="138" t="str">
        <f>IF(Configurator!$T$5="*","-4**","-416")</f>
        <v>-416</v>
      </c>
      <c r="E43" s="138" t="str">
        <f>IF(Configurator!$T$5="*","-4**","-413")</f>
        <v>-413</v>
      </c>
      <c r="F43" s="138" t="str">
        <f>IF(Configurator!$T$5="*","-4**","-416")</f>
        <v>-416</v>
      </c>
      <c r="G43" s="138" t="str">
        <f>IF(Configurator!$T$5="*","-4**","-416")</f>
        <v>-416</v>
      </c>
      <c r="H43" s="138" t="str">
        <f>IF(Configurator!$T$5="*","-4**","-416")</f>
        <v>-416</v>
      </c>
      <c r="I43" s="227" t="str">
        <f>IF(Configurator!$T$5="*","-4**","-419")</f>
        <v>-419</v>
      </c>
      <c r="J43" s="227" t="str">
        <f>IF(Configurator!$T$5="*","-4**","-419")</f>
        <v>-419</v>
      </c>
      <c r="K43" s="227" t="str">
        <f>IF(Configurator!$T$5="*","-4**","-413")</f>
        <v>-413</v>
      </c>
      <c r="L43" s="227" t="str">
        <f>IF(Configurator!$T$5="*","-4**","-422")</f>
        <v>-422</v>
      </c>
      <c r="M43" s="227" t="str">
        <f>IF(Configurator!$T$5="*","-4**","-422")</f>
        <v>-422</v>
      </c>
      <c r="N43" s="138" t="str">
        <f>IF(Configurator!$T$5="*","-4**","-416")</f>
        <v>-416</v>
      </c>
      <c r="O43" s="138" t="str">
        <f>IF(Configurator!$T$5="*","-4**","-416")</f>
        <v>-416</v>
      </c>
      <c r="P43" s="227" t="str">
        <f>IF(Configurator!$T$5="*","-4**","-422")</f>
        <v>-422</v>
      </c>
      <c r="Q43" s="227" t="str">
        <f>IF(Configurator!$T$5="*","-4**","-422")</f>
        <v>-422</v>
      </c>
      <c r="R43" s="227" t="str">
        <f>IF(Configurator!$T$5="*","-4**","-422")</f>
        <v>-422</v>
      </c>
      <c r="S43" s="227" t="str">
        <f>IF(Configurator!$T$5="*","-4**","-422")</f>
        <v>-422</v>
      </c>
      <c r="T43" s="227" t="str">
        <f>IF(Configurator!$T$5="*","-4**","-422")</f>
        <v>-422</v>
      </c>
      <c r="U43" s="227" t="str">
        <f>IF(Configurator!$T$5="*","-4**","-422")</f>
        <v>-422</v>
      </c>
      <c r="V43" s="227" t="str">
        <f>IF(Configurator!$T$5="*","-4**","-422")</f>
        <v>-422</v>
      </c>
      <c r="W43" s="227" t="str">
        <f>IF(Configurator!$T$5="*","-4**","-422")</f>
        <v>-422</v>
      </c>
      <c r="X43" s="227" t="str">
        <f>IF(Configurator!$T$5="*","-4**","-422")</f>
        <v>-422</v>
      </c>
      <c r="Y43" s="227" t="str">
        <f>IF(Configurator!$T$5="*","-4**","-422")</f>
        <v>-422</v>
      </c>
      <c r="Z43" s="227" t="str">
        <f>IF(Configurator!$T$5="*","-4**","-425")</f>
        <v>-425</v>
      </c>
      <c r="AA43" s="573">
        <v>42</v>
      </c>
    </row>
    <row r="44" spans="1:27" ht="15">
      <c r="A44" s="133" t="s">
        <v>1073</v>
      </c>
      <c r="B44" s="138" t="str">
        <f>IF(Configurator!$T$5="*","*","M")</f>
        <v>M</v>
      </c>
      <c r="C44" s="138" t="str">
        <f>IF(Configurator!$T$5="*","*","M")</f>
        <v>M</v>
      </c>
      <c r="D44" s="138" t="str">
        <f>IF(Configurator!$T$5="*","*","P")</f>
        <v>P</v>
      </c>
      <c r="E44" s="138" t="str">
        <f>IF(Configurator!$T$5="*","*","M")</f>
        <v>M</v>
      </c>
      <c r="F44" s="138" t="str">
        <f>IF(Configurator!$T$5="*","*","P")</f>
        <v>P</v>
      </c>
      <c r="G44" s="138" t="str">
        <f>IF(Configurator!$T$5="*","*","P")</f>
        <v>P</v>
      </c>
      <c r="H44" s="138" t="str">
        <f>IF(Configurator!$T$5="*","*","P")</f>
        <v>P</v>
      </c>
      <c r="I44" s="227" t="str">
        <f>IF(Configurator!$T$5="*","*","S")</f>
        <v>S</v>
      </c>
      <c r="J44" s="227" t="str">
        <f>IF(Configurator!$T$5="*","*","S")</f>
        <v>S</v>
      </c>
      <c r="K44" s="227" t="str">
        <f>IF(Configurator!$T$5="*","*","M")</f>
        <v>M</v>
      </c>
      <c r="L44" s="227" t="str">
        <f>IF(Configurator!$T$5="*","*","V")</f>
        <v>V</v>
      </c>
      <c r="M44" s="227" t="str">
        <f>IF(Configurator!$T$5="*","*","V")</f>
        <v>V</v>
      </c>
      <c r="N44" s="138" t="str">
        <f>IF(Configurator!$T$5="*","*","P")</f>
        <v>P</v>
      </c>
      <c r="O44" s="138" t="str">
        <f>IF(Configurator!$T$5="*","*","P")</f>
        <v>P</v>
      </c>
      <c r="P44" s="227" t="str">
        <f>IF(Configurator!$T$5="*","*","V")</f>
        <v>V</v>
      </c>
      <c r="Q44" s="227" t="str">
        <f>IF(Configurator!$T$5="*","*","V")</f>
        <v>V</v>
      </c>
      <c r="R44" s="227" t="str">
        <f>IF(Configurator!$T$5="*","*","V")</f>
        <v>V</v>
      </c>
      <c r="S44" s="227" t="str">
        <f>IF(Configurator!$T$5="*","*","V")</f>
        <v>V</v>
      </c>
      <c r="T44" s="227" t="str">
        <f>IF(Configurator!$T$5="*","*","V")</f>
        <v>V</v>
      </c>
      <c r="U44" s="227" t="str">
        <f>IF(Configurator!$T$5="*","*","V")</f>
        <v>V</v>
      </c>
      <c r="V44" s="227" t="str">
        <f>IF(Configurator!$T$5="*","*","V")</f>
        <v>V</v>
      </c>
      <c r="W44" s="227" t="str">
        <f>IF(Configurator!$T$5="*","*","V")</f>
        <v>V</v>
      </c>
      <c r="X44" s="227" t="str">
        <f>IF(Configurator!$T$5="*","*","V")</f>
        <v>V</v>
      </c>
      <c r="Y44" s="227" t="str">
        <f>IF(Configurator!$T$5="*","*","V")</f>
        <v>V</v>
      </c>
      <c r="Z44" s="227" t="str">
        <f>IF(Configurator!$T$5="*","*","Y")</f>
        <v>Y</v>
      </c>
      <c r="AA44" s="573">
        <v>43</v>
      </c>
    </row>
    <row r="45" spans="1:27" ht="15">
      <c r="A45" s="135" t="s">
        <v>1074</v>
      </c>
      <c r="B45" s="136" t="s">
        <v>1073</v>
      </c>
      <c r="C45" s="136" t="s">
        <v>1073</v>
      </c>
      <c r="D45" s="136" t="s">
        <v>1073</v>
      </c>
      <c r="E45" s="136" t="s">
        <v>1073</v>
      </c>
      <c r="F45" s="136" t="s">
        <v>1073</v>
      </c>
      <c r="G45" s="136" t="s">
        <v>1073</v>
      </c>
      <c r="H45" s="136" t="s">
        <v>1073</v>
      </c>
      <c r="I45" s="153" t="s">
        <v>1073</v>
      </c>
      <c r="J45" s="153" t="s">
        <v>1073</v>
      </c>
      <c r="K45" s="153" t="s">
        <v>1073</v>
      </c>
      <c r="L45" s="153" t="s">
        <v>1073</v>
      </c>
      <c r="M45" s="153" t="s">
        <v>1073</v>
      </c>
      <c r="N45" s="136" t="s">
        <v>1073</v>
      </c>
      <c r="O45" s="136" t="s">
        <v>1073</v>
      </c>
      <c r="P45" s="153" t="s">
        <v>1073</v>
      </c>
      <c r="Q45" s="153" t="s">
        <v>1073</v>
      </c>
      <c r="R45" s="153" t="s">
        <v>1073</v>
      </c>
      <c r="S45" s="153" t="s">
        <v>1073</v>
      </c>
      <c r="T45" s="153" t="s">
        <v>1073</v>
      </c>
      <c r="U45" s="153" t="s">
        <v>1073</v>
      </c>
      <c r="V45" s="153" t="s">
        <v>1073</v>
      </c>
      <c r="W45" s="153" t="s">
        <v>1073</v>
      </c>
      <c r="X45" s="153" t="s">
        <v>1073</v>
      </c>
      <c r="Y45" s="153" t="s">
        <v>1073</v>
      </c>
      <c r="Z45" s="153" t="s">
        <v>1073</v>
      </c>
      <c r="AA45" s="573">
        <v>44</v>
      </c>
    </row>
    <row r="46" spans="1:27" ht="15">
      <c r="A46" s="137" t="s">
        <v>1073</v>
      </c>
      <c r="B46" s="217" t="s">
        <v>1347</v>
      </c>
      <c r="C46" s="217" t="s">
        <v>1347</v>
      </c>
      <c r="D46" s="217" t="s">
        <v>1347</v>
      </c>
      <c r="E46" s="217" t="s">
        <v>1347</v>
      </c>
      <c r="F46" s="217" t="s">
        <v>1347</v>
      </c>
      <c r="G46" s="217" t="s">
        <v>1347</v>
      </c>
      <c r="H46" s="217" t="s">
        <v>1347</v>
      </c>
      <c r="I46" s="217" t="s">
        <v>1347</v>
      </c>
      <c r="J46" s="217" t="s">
        <v>1347</v>
      </c>
      <c r="K46" s="217" t="s">
        <v>1347</v>
      </c>
      <c r="L46" s="217" t="s">
        <v>1347</v>
      </c>
      <c r="M46" s="217" t="s">
        <v>1347</v>
      </c>
      <c r="N46" s="217" t="s">
        <v>1347</v>
      </c>
      <c r="O46" s="217" t="s">
        <v>1347</v>
      </c>
      <c r="P46" s="217" t="s">
        <v>1347</v>
      </c>
      <c r="Q46" s="217" t="s">
        <v>1347</v>
      </c>
      <c r="R46" s="217" t="s">
        <v>1347</v>
      </c>
      <c r="S46" s="217" t="s">
        <v>1347</v>
      </c>
      <c r="T46" s="217" t="s">
        <v>1347</v>
      </c>
      <c r="U46" s="217" t="s">
        <v>1347</v>
      </c>
      <c r="V46" s="217" t="s">
        <v>1347</v>
      </c>
      <c r="W46" s="217" t="s">
        <v>1347</v>
      </c>
      <c r="X46" s="217" t="s">
        <v>1347</v>
      </c>
      <c r="Y46" s="217" t="s">
        <v>1347</v>
      </c>
      <c r="Z46" s="217" t="s">
        <v>1347</v>
      </c>
      <c r="AA46" s="573">
        <v>45</v>
      </c>
    </row>
    <row r="47" spans="1:27" ht="17.25" customHeight="1">
      <c r="A47" s="137" t="s">
        <v>1073</v>
      </c>
      <c r="B47" s="237" t="s">
        <v>1451</v>
      </c>
      <c r="C47" s="237" t="s">
        <v>1451</v>
      </c>
      <c r="D47" s="237" t="s">
        <v>1451</v>
      </c>
      <c r="E47" s="237" t="s">
        <v>1451</v>
      </c>
      <c r="F47" s="237" t="s">
        <v>1451</v>
      </c>
      <c r="G47" s="237" t="s">
        <v>1451</v>
      </c>
      <c r="H47" s="237" t="s">
        <v>1451</v>
      </c>
      <c r="I47" s="237" t="s">
        <v>1451</v>
      </c>
      <c r="J47" s="237" t="s">
        <v>1451</v>
      </c>
      <c r="K47" s="237" t="s">
        <v>1451</v>
      </c>
      <c r="L47" s="237" t="s">
        <v>1451</v>
      </c>
      <c r="M47" s="237" t="s">
        <v>1451</v>
      </c>
      <c r="N47" s="237" t="s">
        <v>1451</v>
      </c>
      <c r="O47" s="237" t="s">
        <v>1451</v>
      </c>
      <c r="P47" s="237" t="s">
        <v>1451</v>
      </c>
      <c r="Q47" s="237" t="s">
        <v>1451</v>
      </c>
      <c r="R47" s="237" t="s">
        <v>1451</v>
      </c>
      <c r="S47" s="237" t="s">
        <v>1451</v>
      </c>
      <c r="T47" s="237" t="s">
        <v>1451</v>
      </c>
      <c r="U47" s="237" t="s">
        <v>1451</v>
      </c>
      <c r="V47" s="237" t="s">
        <v>1451</v>
      </c>
      <c r="W47" s="237" t="s">
        <v>1451</v>
      </c>
      <c r="X47" s="237" t="s">
        <v>1451</v>
      </c>
      <c r="Y47" s="237" t="s">
        <v>1451</v>
      </c>
      <c r="Z47" s="237" t="s">
        <v>1451</v>
      </c>
      <c r="AA47" s="573">
        <v>46</v>
      </c>
    </row>
    <row r="48" spans="1:27" ht="15">
      <c r="A48" s="137" t="s">
        <v>1073</v>
      </c>
      <c r="B48" s="217" t="s">
        <v>1397</v>
      </c>
      <c r="C48" s="217" t="s">
        <v>1397</v>
      </c>
      <c r="D48" s="217" t="s">
        <v>1397</v>
      </c>
      <c r="E48" s="217" t="s">
        <v>1397</v>
      </c>
      <c r="F48" s="217" t="s">
        <v>1397</v>
      </c>
      <c r="G48" s="217" t="s">
        <v>1397</v>
      </c>
      <c r="H48" s="217" t="s">
        <v>1397</v>
      </c>
      <c r="I48" s="217" t="s">
        <v>1397</v>
      </c>
      <c r="J48" s="217" t="s">
        <v>1397</v>
      </c>
      <c r="K48" s="217" t="s">
        <v>1397</v>
      </c>
      <c r="L48" s="217" t="s">
        <v>1397</v>
      </c>
      <c r="M48" s="217" t="s">
        <v>1397</v>
      </c>
      <c r="N48" s="217" t="s">
        <v>1397</v>
      </c>
      <c r="O48" s="217" t="s">
        <v>1397</v>
      </c>
      <c r="P48" s="217" t="s">
        <v>1397</v>
      </c>
      <c r="Q48" s="217" t="s">
        <v>1397</v>
      </c>
      <c r="R48" s="217" t="s">
        <v>1397</v>
      </c>
      <c r="S48" s="217" t="s">
        <v>1397</v>
      </c>
      <c r="T48" s="217" t="s">
        <v>1397</v>
      </c>
      <c r="U48" s="217" t="s">
        <v>1397</v>
      </c>
      <c r="V48" s="217" t="s">
        <v>1397</v>
      </c>
      <c r="W48" s="217" t="s">
        <v>1397</v>
      </c>
      <c r="X48" s="217" t="s">
        <v>1397</v>
      </c>
      <c r="Y48" s="217" t="s">
        <v>1397</v>
      </c>
      <c r="Z48" s="217" t="s">
        <v>1397</v>
      </c>
      <c r="AA48" s="573">
        <v>47</v>
      </c>
    </row>
    <row r="49" spans="1:27" ht="16.5" customHeight="1">
      <c r="A49" s="137" t="s">
        <v>1073</v>
      </c>
      <c r="B49" s="237" t="s">
        <v>1452</v>
      </c>
      <c r="C49" s="237" t="s">
        <v>1452</v>
      </c>
      <c r="D49" s="237" t="s">
        <v>1452</v>
      </c>
      <c r="E49" s="237" t="s">
        <v>1452</v>
      </c>
      <c r="F49" s="237" t="s">
        <v>1452</v>
      </c>
      <c r="G49" s="237" t="s">
        <v>1452</v>
      </c>
      <c r="H49" s="237" t="s">
        <v>1452</v>
      </c>
      <c r="I49" s="237" t="s">
        <v>1452</v>
      </c>
      <c r="J49" s="237" t="s">
        <v>1452</v>
      </c>
      <c r="K49" s="237" t="s">
        <v>1452</v>
      </c>
      <c r="L49" s="237" t="s">
        <v>1452</v>
      </c>
      <c r="M49" s="237" t="s">
        <v>1452</v>
      </c>
      <c r="N49" s="237" t="s">
        <v>1452</v>
      </c>
      <c r="O49" s="237" t="s">
        <v>1452</v>
      </c>
      <c r="P49" s="237" t="s">
        <v>1452</v>
      </c>
      <c r="Q49" s="237" t="s">
        <v>1452</v>
      </c>
      <c r="R49" s="237" t="s">
        <v>1452</v>
      </c>
      <c r="S49" s="237" t="s">
        <v>1452</v>
      </c>
      <c r="T49" s="237" t="s">
        <v>1452</v>
      </c>
      <c r="U49" s="237" t="s">
        <v>1452</v>
      </c>
      <c r="V49" s="237" t="s">
        <v>1452</v>
      </c>
      <c r="W49" s="237" t="s">
        <v>1452</v>
      </c>
      <c r="X49" s="237" t="s">
        <v>1452</v>
      </c>
      <c r="Y49" s="237" t="s">
        <v>1452</v>
      </c>
      <c r="Z49" s="237" t="s">
        <v>1452</v>
      </c>
      <c r="AA49" s="573">
        <v>48</v>
      </c>
    </row>
    <row r="50" spans="1:27" ht="15">
      <c r="A50" s="137" t="s">
        <v>1073</v>
      </c>
      <c r="B50" s="217" t="s">
        <v>1394</v>
      </c>
      <c r="C50" s="217" t="s">
        <v>1394</v>
      </c>
      <c r="D50" s="217" t="s">
        <v>1394</v>
      </c>
      <c r="E50" s="217" t="s">
        <v>1394</v>
      </c>
      <c r="F50" s="217" t="s">
        <v>1394</v>
      </c>
      <c r="G50" s="217" t="s">
        <v>1394</v>
      </c>
      <c r="H50" s="217" t="s">
        <v>1394</v>
      </c>
      <c r="I50" s="217" t="s">
        <v>1394</v>
      </c>
      <c r="J50" s="217" t="s">
        <v>1394</v>
      </c>
      <c r="K50" s="217" t="s">
        <v>1394</v>
      </c>
      <c r="L50" s="217" t="s">
        <v>1394</v>
      </c>
      <c r="M50" s="217" t="s">
        <v>1394</v>
      </c>
      <c r="N50" s="217" t="s">
        <v>1394</v>
      </c>
      <c r="O50" s="217" t="s">
        <v>1394</v>
      </c>
      <c r="P50" s="217" t="s">
        <v>1394</v>
      </c>
      <c r="Q50" s="217" t="s">
        <v>1394</v>
      </c>
      <c r="R50" s="217" t="s">
        <v>1394</v>
      </c>
      <c r="S50" s="217" t="s">
        <v>1394</v>
      </c>
      <c r="T50" s="217" t="s">
        <v>1394</v>
      </c>
      <c r="U50" s="217" t="s">
        <v>1394</v>
      </c>
      <c r="V50" s="217" t="s">
        <v>1394</v>
      </c>
      <c r="W50" s="217" t="s">
        <v>1394</v>
      </c>
      <c r="X50" s="217" t="s">
        <v>1394</v>
      </c>
      <c r="Y50" s="217" t="s">
        <v>1394</v>
      </c>
      <c r="Z50" s="217" t="s">
        <v>1394</v>
      </c>
      <c r="AA50" s="573">
        <v>49</v>
      </c>
    </row>
    <row r="51" spans="1:27" ht="13.5" customHeight="1">
      <c r="A51" s="137" t="s">
        <v>1073</v>
      </c>
      <c r="B51" s="237" t="s">
        <v>1453</v>
      </c>
      <c r="C51" s="237" t="s">
        <v>1453</v>
      </c>
      <c r="D51" s="237" t="s">
        <v>1453</v>
      </c>
      <c r="E51" s="237" t="s">
        <v>1453</v>
      </c>
      <c r="F51" s="237" t="s">
        <v>1453</v>
      </c>
      <c r="G51" s="237" t="s">
        <v>1453</v>
      </c>
      <c r="H51" s="237" t="s">
        <v>1453</v>
      </c>
      <c r="I51" s="237" t="s">
        <v>1453</v>
      </c>
      <c r="J51" s="237" t="s">
        <v>1453</v>
      </c>
      <c r="K51" s="237" t="s">
        <v>1453</v>
      </c>
      <c r="L51" s="237" t="s">
        <v>1453</v>
      </c>
      <c r="M51" s="237" t="s">
        <v>1453</v>
      </c>
      <c r="N51" s="237" t="s">
        <v>1453</v>
      </c>
      <c r="O51" s="237" t="s">
        <v>1453</v>
      </c>
      <c r="P51" s="237" t="s">
        <v>1453</v>
      </c>
      <c r="Q51" s="237" t="s">
        <v>1453</v>
      </c>
      <c r="R51" s="237" t="s">
        <v>1453</v>
      </c>
      <c r="S51" s="237" t="s">
        <v>1453</v>
      </c>
      <c r="T51" s="237" t="s">
        <v>1453</v>
      </c>
      <c r="U51" s="237" t="s">
        <v>1453</v>
      </c>
      <c r="V51" s="237" t="s">
        <v>1453</v>
      </c>
      <c r="W51" s="237" t="s">
        <v>1453</v>
      </c>
      <c r="X51" s="237" t="s">
        <v>1453</v>
      </c>
      <c r="Y51" s="237" t="s">
        <v>1453</v>
      </c>
      <c r="Z51" s="237" t="s">
        <v>1453</v>
      </c>
      <c r="AA51" s="573">
        <v>50</v>
      </c>
    </row>
    <row r="52" spans="1:27" ht="15">
      <c r="A52" s="137"/>
      <c r="B52" s="217" t="s">
        <v>1454</v>
      </c>
      <c r="C52" s="217" t="s">
        <v>1454</v>
      </c>
      <c r="D52" s="217" t="s">
        <v>1454</v>
      </c>
      <c r="E52" s="217" t="s">
        <v>1454</v>
      </c>
      <c r="F52" s="217" t="s">
        <v>1454</v>
      </c>
      <c r="G52" s="217" t="s">
        <v>1454</v>
      </c>
      <c r="H52" s="217" t="s">
        <v>1454</v>
      </c>
      <c r="I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J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K52" s="217" t="s">
        <v>1454</v>
      </c>
      <c r="L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M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N52" s="217" t="s">
        <v>1454</v>
      </c>
      <c r="O52" s="217" t="s">
        <v>1454</v>
      </c>
      <c r="P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Q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R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S52" s="568" t="str">
        <f>IF(AND(Tendering!$B$13=2,Tendering!$B$9&lt;3),"С RTD модулем - not available with BiBo6H module in Slot 7","С RTD модулем")</f>
        <v>С RTD модулем - not available with BiBo6H module in Slot 7</v>
      </c>
      <c r="T52" s="217" t="s">
        <v>1454</v>
      </c>
      <c r="U52" s="217" t="s">
        <v>1454</v>
      </c>
      <c r="V52" s="217" t="s">
        <v>1454</v>
      </c>
      <c r="W52" s="217" t="s">
        <v>1454</v>
      </c>
      <c r="X52" s="217" t="s">
        <v>1454</v>
      </c>
      <c r="Y52" s="217" t="s">
        <v>1454</v>
      </c>
      <c r="Z52" s="217" t="s">
        <v>1454</v>
      </c>
      <c r="AA52" s="573">
        <v>51</v>
      </c>
    </row>
    <row r="53" spans="1:27" ht="15">
      <c r="A53" s="137"/>
      <c r="B53" s="217" t="s">
        <v>1455</v>
      </c>
      <c r="C53" s="217" t="s">
        <v>1455</v>
      </c>
      <c r="D53" s="217" t="s">
        <v>1455</v>
      </c>
      <c r="E53" s="217" t="s">
        <v>1455</v>
      </c>
      <c r="F53" s="217" t="s">
        <v>1455</v>
      </c>
      <c r="G53" s="217" t="s">
        <v>1455</v>
      </c>
      <c r="H53" s="217" t="s">
        <v>1455</v>
      </c>
      <c r="I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J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K53" s="217" t="s">
        <v>1455</v>
      </c>
      <c r="L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M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N53" s="217" t="s">
        <v>1455</v>
      </c>
      <c r="O53" s="217" t="s">
        <v>1455</v>
      </c>
      <c r="P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Q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R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S53" s="568" t="str">
        <f>IF(AND(Tendering!$B$13=2,Tendering!$B$9&lt;3),"С RTD модулем и аналоговым модулем - not available with BiBo6H module in Slot 7","С RTD модулем и аналоговым модулем")</f>
        <v>С RTD модулем и аналоговым модулем - not available with BiBo6H module in Slot 7</v>
      </c>
      <c r="T53" s="217" t="s">
        <v>1455</v>
      </c>
      <c r="U53" s="217" t="s">
        <v>1455</v>
      </c>
      <c r="V53" s="217" t="s">
        <v>1455</v>
      </c>
      <c r="W53" s="217" t="s">
        <v>1455</v>
      </c>
      <c r="X53" s="217" t="s">
        <v>1455</v>
      </c>
      <c r="Y53" s="217" t="s">
        <v>1455</v>
      </c>
      <c r="Z53" s="217" t="s">
        <v>1455</v>
      </c>
      <c r="AA53" s="573">
        <v>52</v>
      </c>
    </row>
    <row r="54" spans="1:27" ht="15">
      <c r="A54" s="137"/>
      <c r="B54" s="217" t="s">
        <v>1456</v>
      </c>
      <c r="C54" s="217" t="s">
        <v>1456</v>
      </c>
      <c r="D54" s="217" t="s">
        <v>1456</v>
      </c>
      <c r="E54" s="217" t="s">
        <v>1456</v>
      </c>
      <c r="F54" s="217" t="s">
        <v>1456</v>
      </c>
      <c r="G54" s="217" t="s">
        <v>1456</v>
      </c>
      <c r="H54" s="217" t="s">
        <v>1456</v>
      </c>
      <c r="I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J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K54" s="217" t="s">
        <v>1456</v>
      </c>
      <c r="L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M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N54" s="217" t="s">
        <v>1456</v>
      </c>
      <c r="O54" s="217" t="s">
        <v>1456</v>
      </c>
      <c r="P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Q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R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S54" s="568" t="str">
        <f>IF(AND(Tendering!$B$13=2,Tendering!$B$9&lt;3),"С RTD модулем и дискретным модулем - not available with BiBo6H module in Slot 7","С RTD модулем и дискретным модулем")</f>
        <v>С RTD модулем и дискретным модулем - not available with BiBo6H module in Slot 7</v>
      </c>
      <c r="T54" s="217" t="s">
        <v>1456</v>
      </c>
      <c r="U54" s="217" t="s">
        <v>1456</v>
      </c>
      <c r="V54" s="217" t="s">
        <v>1456</v>
      </c>
      <c r="W54" s="217" t="s">
        <v>1456</v>
      </c>
      <c r="X54" s="217" t="s">
        <v>1456</v>
      </c>
      <c r="Y54" s="217" t="s">
        <v>1456</v>
      </c>
      <c r="Z54" s="217" t="s">
        <v>1456</v>
      </c>
      <c r="AA54" s="573">
        <v>53</v>
      </c>
    </row>
    <row r="55" spans="1:27" ht="15">
      <c r="A55" s="135" t="s">
        <v>1076</v>
      </c>
      <c r="B55" s="136" t="s">
        <v>1073</v>
      </c>
      <c r="C55" s="136" t="s">
        <v>1073</v>
      </c>
      <c r="D55" s="136" t="s">
        <v>1073</v>
      </c>
      <c r="E55" s="136" t="s">
        <v>1073</v>
      </c>
      <c r="F55" s="136" t="s">
        <v>1073</v>
      </c>
      <c r="G55" s="136" t="s">
        <v>1073</v>
      </c>
      <c r="H55" s="136" t="s">
        <v>1073</v>
      </c>
      <c r="I55" s="153" t="s">
        <v>1073</v>
      </c>
      <c r="J55" s="153" t="s">
        <v>1073</v>
      </c>
      <c r="K55" s="153" t="s">
        <v>1073</v>
      </c>
      <c r="L55" s="153" t="s">
        <v>1073</v>
      </c>
      <c r="M55" s="153" t="s">
        <v>1073</v>
      </c>
      <c r="N55" s="136" t="s">
        <v>1073</v>
      </c>
      <c r="O55" s="136" t="s">
        <v>1073</v>
      </c>
      <c r="P55" s="153" t="s">
        <v>1073</v>
      </c>
      <c r="Q55" s="153" t="s">
        <v>1073</v>
      </c>
      <c r="R55" s="153" t="s">
        <v>1073</v>
      </c>
      <c r="S55" s="153" t="s">
        <v>1073</v>
      </c>
      <c r="T55" s="153" t="s">
        <v>1073</v>
      </c>
      <c r="U55" s="153" t="s">
        <v>1073</v>
      </c>
      <c r="V55" s="153" t="s">
        <v>1073</v>
      </c>
      <c r="W55" s="153" t="s">
        <v>1073</v>
      </c>
      <c r="X55" s="153" t="s">
        <v>1073</v>
      </c>
      <c r="Y55" s="153" t="s">
        <v>1073</v>
      </c>
      <c r="Z55" s="153" t="s">
        <v>1073</v>
      </c>
      <c r="AA55" s="573">
        <v>54</v>
      </c>
    </row>
    <row r="56" spans="1:27" ht="15">
      <c r="A56" s="133" t="s">
        <v>1073</v>
      </c>
      <c r="B56" s="217" t="s">
        <v>1347</v>
      </c>
      <c r="C56" s="217" t="s">
        <v>1347</v>
      </c>
      <c r="D56" s="217" t="s">
        <v>1347</v>
      </c>
      <c r="E56" s="217" t="s">
        <v>1347</v>
      </c>
      <c r="F56" s="217" t="s">
        <v>1347</v>
      </c>
      <c r="G56" s="217" t="s">
        <v>1347</v>
      </c>
      <c r="H56" s="217" t="s">
        <v>1347</v>
      </c>
      <c r="I56" s="217" t="s">
        <v>1347</v>
      </c>
      <c r="J56" s="217" t="s">
        <v>1347</v>
      </c>
      <c r="K56" s="217" t="s">
        <v>1347</v>
      </c>
      <c r="L56" s="217" t="s">
        <v>1347</v>
      </c>
      <c r="M56" s="217" t="s">
        <v>1347</v>
      </c>
      <c r="N56" s="217" t="s">
        <v>1347</v>
      </c>
      <c r="O56" s="217" t="s">
        <v>1347</v>
      </c>
      <c r="P56" s="217" t="s">
        <v>1347</v>
      </c>
      <c r="Q56" s="217" t="s">
        <v>1347</v>
      </c>
      <c r="R56" s="217" t="s">
        <v>1347</v>
      </c>
      <c r="S56" s="217" t="s">
        <v>1347</v>
      </c>
      <c r="T56" s="217" t="s">
        <v>1347</v>
      </c>
      <c r="U56" s="217" t="s">
        <v>1347</v>
      </c>
      <c r="V56" s="217" t="s">
        <v>1347</v>
      </c>
      <c r="W56" s="217" t="s">
        <v>1347</v>
      </c>
      <c r="X56" s="217" t="s">
        <v>1347</v>
      </c>
      <c r="Y56" s="217" t="s">
        <v>1347</v>
      </c>
      <c r="Z56" s="217" t="s">
        <v>1347</v>
      </c>
      <c r="AA56" s="573">
        <v>55</v>
      </c>
    </row>
    <row r="57" spans="1:27" ht="143.25">
      <c r="A57" s="133" t="s">
        <v>1073</v>
      </c>
      <c r="B57" s="237" t="s">
        <v>1459</v>
      </c>
      <c r="C57" s="237" t="s">
        <v>1459</v>
      </c>
      <c r="D57" s="237" t="s">
        <v>1459</v>
      </c>
      <c r="E57" s="237" t="s">
        <v>1459</v>
      </c>
      <c r="F57" s="237" t="s">
        <v>1459</v>
      </c>
      <c r="G57" s="237" t="s">
        <v>1459</v>
      </c>
      <c r="H57" s="237" t="s">
        <v>1459</v>
      </c>
      <c r="I57" s="237" t="s">
        <v>1459</v>
      </c>
      <c r="J57" s="237" t="s">
        <v>1459</v>
      </c>
      <c r="K57" s="237" t="s">
        <v>1459</v>
      </c>
      <c r="L57" s="237" t="s">
        <v>1459</v>
      </c>
      <c r="M57" s="237" t="s">
        <v>1459</v>
      </c>
      <c r="N57" s="237" t="s">
        <v>1459</v>
      </c>
      <c r="O57" s="237" t="s">
        <v>1459</v>
      </c>
      <c r="P57" s="237" t="s">
        <v>1459</v>
      </c>
      <c r="Q57" s="237" t="s">
        <v>1459</v>
      </c>
      <c r="R57" s="237" t="s">
        <v>1459</v>
      </c>
      <c r="S57" s="237" t="s">
        <v>1459</v>
      </c>
      <c r="T57" s="237" t="s">
        <v>1459</v>
      </c>
      <c r="U57" s="237" t="s">
        <v>1459</v>
      </c>
      <c r="V57" s="237" t="s">
        <v>1459</v>
      </c>
      <c r="W57" s="237" t="s">
        <v>1459</v>
      </c>
      <c r="X57" s="237" t="s">
        <v>1459</v>
      </c>
      <c r="Y57" s="237" t="s">
        <v>1459</v>
      </c>
      <c r="Z57" s="237" t="s">
        <v>1459</v>
      </c>
      <c r="AA57" s="573">
        <v>56</v>
      </c>
    </row>
    <row r="58" spans="1:27" ht="15">
      <c r="A58" s="133" t="s">
        <v>1073</v>
      </c>
      <c r="B58" s="217" t="s">
        <v>1361</v>
      </c>
      <c r="C58" s="217" t="s">
        <v>1361</v>
      </c>
      <c r="D58" s="217" t="s">
        <v>1361</v>
      </c>
      <c r="E58" s="217" t="s">
        <v>1361</v>
      </c>
      <c r="F58" s="217" t="s">
        <v>1361</v>
      </c>
      <c r="G58" s="217" t="s">
        <v>1361</v>
      </c>
      <c r="H58" s="217" t="s">
        <v>1361</v>
      </c>
      <c r="I58" s="217" t="s">
        <v>1361</v>
      </c>
      <c r="J58" s="217" t="s">
        <v>1361</v>
      </c>
      <c r="K58" s="217" t="s">
        <v>1361</v>
      </c>
      <c r="L58" s="217" t="s">
        <v>1361</v>
      </c>
      <c r="M58" s="217" t="s">
        <v>1361</v>
      </c>
      <c r="N58" s="217" t="s">
        <v>1361</v>
      </c>
      <c r="O58" s="217" t="s">
        <v>1361</v>
      </c>
      <c r="P58" s="217" t="s">
        <v>1361</v>
      </c>
      <c r="Q58" s="217" t="s">
        <v>1361</v>
      </c>
      <c r="R58" s="217" t="s">
        <v>1361</v>
      </c>
      <c r="S58" s="217" t="s">
        <v>1361</v>
      </c>
      <c r="T58" s="217" t="s">
        <v>1361</v>
      </c>
      <c r="U58" s="217" t="s">
        <v>1361</v>
      </c>
      <c r="V58" s="217" t="s">
        <v>1361</v>
      </c>
      <c r="W58" s="217" t="s">
        <v>1361</v>
      </c>
      <c r="X58" s="217" t="s">
        <v>1361</v>
      </c>
      <c r="Y58" s="217" t="s">
        <v>1361</v>
      </c>
      <c r="Z58" s="217" t="s">
        <v>1361</v>
      </c>
      <c r="AA58" s="573">
        <v>57</v>
      </c>
    </row>
    <row r="59" spans="1:27" ht="15">
      <c r="A59" s="135" t="s">
        <v>1077</v>
      </c>
      <c r="B59" s="136" t="s">
        <v>1073</v>
      </c>
      <c r="C59" s="136" t="s">
        <v>1073</v>
      </c>
      <c r="D59" s="136" t="s">
        <v>1073</v>
      </c>
      <c r="E59" s="136" t="s">
        <v>1073</v>
      </c>
      <c r="F59" s="136" t="s">
        <v>1073</v>
      </c>
      <c r="G59" s="136" t="s">
        <v>1073</v>
      </c>
      <c r="H59" s="136" t="s">
        <v>1073</v>
      </c>
      <c r="I59" s="153" t="s">
        <v>1073</v>
      </c>
      <c r="J59" s="153" t="s">
        <v>1073</v>
      </c>
      <c r="K59" s="153" t="s">
        <v>1073</v>
      </c>
      <c r="L59" s="153" t="s">
        <v>1073</v>
      </c>
      <c r="M59" s="153" t="s">
        <v>1073</v>
      </c>
      <c r="N59" s="136" t="s">
        <v>1073</v>
      </c>
      <c r="O59" s="136" t="s">
        <v>1073</v>
      </c>
      <c r="P59" s="153" t="s">
        <v>1073</v>
      </c>
      <c r="Q59" s="153" t="s">
        <v>1073</v>
      </c>
      <c r="R59" s="153" t="s">
        <v>1073</v>
      </c>
      <c r="S59" s="153" t="s">
        <v>1073</v>
      </c>
      <c r="T59" s="153" t="s">
        <v>1073</v>
      </c>
      <c r="U59" s="153" t="s">
        <v>1073</v>
      </c>
      <c r="V59" s="153" t="s">
        <v>1073</v>
      </c>
      <c r="W59" s="153" t="s">
        <v>1073</v>
      </c>
      <c r="X59" s="153" t="s">
        <v>1073</v>
      </c>
      <c r="Y59" s="153" t="s">
        <v>1073</v>
      </c>
      <c r="Z59" s="153" t="s">
        <v>1073</v>
      </c>
      <c r="AA59" s="573">
        <v>58</v>
      </c>
    </row>
    <row r="60" spans="1:27" ht="15">
      <c r="A60" s="137" t="s">
        <v>1073</v>
      </c>
      <c r="B60" s="134">
        <v>1</v>
      </c>
      <c r="C60" s="134">
        <v>1</v>
      </c>
      <c r="D60" s="134">
        <v>1</v>
      </c>
      <c r="E60" s="134">
        <v>1</v>
      </c>
      <c r="F60" s="134">
        <v>1</v>
      </c>
      <c r="G60" s="134">
        <v>1</v>
      </c>
      <c r="H60" s="134">
        <v>1</v>
      </c>
      <c r="I60" s="217">
        <v>1</v>
      </c>
      <c r="J60" s="217">
        <v>1</v>
      </c>
      <c r="K60" s="217">
        <v>1</v>
      </c>
      <c r="L60" s="217">
        <v>1</v>
      </c>
      <c r="M60" s="217">
        <v>1</v>
      </c>
      <c r="N60" s="134">
        <v>1</v>
      </c>
      <c r="O60" s="134">
        <v>1</v>
      </c>
      <c r="P60" s="217">
        <v>1</v>
      </c>
      <c r="Q60" s="217">
        <v>1</v>
      </c>
      <c r="R60" s="217">
        <v>1</v>
      </c>
      <c r="S60" s="217">
        <v>1</v>
      </c>
      <c r="T60" s="217">
        <v>1</v>
      </c>
      <c r="U60" s="217">
        <v>1</v>
      </c>
      <c r="V60" s="217">
        <v>1</v>
      </c>
      <c r="W60" s="217">
        <v>1</v>
      </c>
      <c r="X60" s="217">
        <v>1</v>
      </c>
      <c r="Y60" s="217">
        <v>1</v>
      </c>
      <c r="Z60" s="217">
        <v>1</v>
      </c>
      <c r="AA60" s="573">
        <v>59</v>
      </c>
    </row>
    <row r="61" spans="1:27" ht="15">
      <c r="A61" s="137" t="s">
        <v>1073</v>
      </c>
      <c r="B61" s="136" t="s">
        <v>1073</v>
      </c>
      <c r="C61" s="136" t="s">
        <v>1073</v>
      </c>
      <c r="D61" s="136" t="s">
        <v>1073</v>
      </c>
      <c r="E61" s="136" t="s">
        <v>1073</v>
      </c>
      <c r="F61" s="136" t="s">
        <v>1073</v>
      </c>
      <c r="G61" s="136" t="s">
        <v>1073</v>
      </c>
      <c r="H61" s="136" t="s">
        <v>1073</v>
      </c>
      <c r="I61" s="153" t="s">
        <v>1073</v>
      </c>
      <c r="J61" s="153" t="s">
        <v>1073</v>
      </c>
      <c r="K61" s="153" t="s">
        <v>1073</v>
      </c>
      <c r="L61" s="153" t="s">
        <v>1073</v>
      </c>
      <c r="M61" s="153" t="s">
        <v>1073</v>
      </c>
      <c r="N61" s="136" t="s">
        <v>1073</v>
      </c>
      <c r="O61" s="136" t="s">
        <v>1073</v>
      </c>
      <c r="P61" s="153" t="s">
        <v>1073</v>
      </c>
      <c r="Q61" s="153" t="s">
        <v>1073</v>
      </c>
      <c r="R61" s="153" t="s">
        <v>1073</v>
      </c>
      <c r="S61" s="153" t="s">
        <v>1073</v>
      </c>
      <c r="T61" s="153" t="s">
        <v>1073</v>
      </c>
      <c r="U61" s="153" t="s">
        <v>1073</v>
      </c>
      <c r="V61" s="153" t="s">
        <v>1073</v>
      </c>
      <c r="W61" s="153" t="s">
        <v>1073</v>
      </c>
      <c r="X61" s="153" t="s">
        <v>1073</v>
      </c>
      <c r="Y61" s="153" t="s">
        <v>1073</v>
      </c>
      <c r="Z61" s="153" t="s">
        <v>1073</v>
      </c>
      <c r="AA61" s="573">
        <v>60</v>
      </c>
    </row>
    <row r="62" spans="1:27" ht="15">
      <c r="A62" s="137" t="s">
        <v>1073</v>
      </c>
      <c r="B62" s="136" t="s">
        <v>1073</v>
      </c>
      <c r="C62" s="136" t="s">
        <v>1073</v>
      </c>
      <c r="D62" s="136" t="s">
        <v>1073</v>
      </c>
      <c r="E62" s="136" t="s">
        <v>1073</v>
      </c>
      <c r="F62" s="136" t="s">
        <v>1073</v>
      </c>
      <c r="G62" s="136" t="s">
        <v>1073</v>
      </c>
      <c r="H62" s="136" t="s">
        <v>1073</v>
      </c>
      <c r="I62" s="153" t="s">
        <v>1073</v>
      </c>
      <c r="J62" s="153" t="s">
        <v>1073</v>
      </c>
      <c r="K62" s="153" t="s">
        <v>1073</v>
      </c>
      <c r="L62" s="153" t="s">
        <v>1073</v>
      </c>
      <c r="M62" s="153" t="s">
        <v>1073</v>
      </c>
      <c r="N62" s="136" t="s">
        <v>1073</v>
      </c>
      <c r="O62" s="136" t="s">
        <v>1073</v>
      </c>
      <c r="P62" s="153" t="s">
        <v>1073</v>
      </c>
      <c r="Q62" s="153" t="s">
        <v>1073</v>
      </c>
      <c r="R62" s="153" t="s">
        <v>1073</v>
      </c>
      <c r="S62" s="153" t="s">
        <v>1073</v>
      </c>
      <c r="T62" s="153" t="s">
        <v>1073</v>
      </c>
      <c r="U62" s="153" t="s">
        <v>1073</v>
      </c>
      <c r="V62" s="153" t="s">
        <v>1073</v>
      </c>
      <c r="W62" s="153" t="s">
        <v>1073</v>
      </c>
      <c r="X62" s="153" t="s">
        <v>1073</v>
      </c>
      <c r="Y62" s="153" t="s">
        <v>1073</v>
      </c>
      <c r="Z62" s="153" t="s">
        <v>1073</v>
      </c>
      <c r="AA62" s="573">
        <v>61</v>
      </c>
    </row>
    <row r="63" spans="1:27" ht="15">
      <c r="A63" s="137" t="s">
        <v>1073</v>
      </c>
      <c r="B63" s="136" t="s">
        <v>1073</v>
      </c>
      <c r="C63" s="136" t="s">
        <v>1073</v>
      </c>
      <c r="D63" s="136" t="s">
        <v>1073</v>
      </c>
      <c r="E63" s="136" t="s">
        <v>1073</v>
      </c>
      <c r="F63" s="136" t="s">
        <v>1073</v>
      </c>
      <c r="G63" s="136" t="s">
        <v>1073</v>
      </c>
      <c r="H63" s="136" t="s">
        <v>1073</v>
      </c>
      <c r="I63" s="153" t="s">
        <v>1073</v>
      </c>
      <c r="J63" s="153" t="s">
        <v>1073</v>
      </c>
      <c r="K63" s="153" t="s">
        <v>1073</v>
      </c>
      <c r="L63" s="153" t="s">
        <v>1073</v>
      </c>
      <c r="M63" s="153" t="s">
        <v>1073</v>
      </c>
      <c r="N63" s="136" t="s">
        <v>1073</v>
      </c>
      <c r="O63" s="136" t="s">
        <v>1073</v>
      </c>
      <c r="P63" s="153" t="s">
        <v>1073</v>
      </c>
      <c r="Q63" s="153" t="s">
        <v>1073</v>
      </c>
      <c r="R63" s="153" t="s">
        <v>1073</v>
      </c>
      <c r="S63" s="153" t="s">
        <v>1073</v>
      </c>
      <c r="T63" s="153" t="s">
        <v>1073</v>
      </c>
      <c r="U63" s="153" t="s">
        <v>1073</v>
      </c>
      <c r="V63" s="153" t="s">
        <v>1073</v>
      </c>
      <c r="W63" s="153" t="s">
        <v>1073</v>
      </c>
      <c r="X63" s="153" t="s">
        <v>1073</v>
      </c>
      <c r="Y63" s="153" t="s">
        <v>1073</v>
      </c>
      <c r="Z63" s="153" t="s">
        <v>1073</v>
      </c>
      <c r="AA63" s="573">
        <v>62</v>
      </c>
    </row>
    <row r="64" spans="1:27" ht="15">
      <c r="A64" s="133"/>
      <c r="B64" s="134">
        <v>2</v>
      </c>
      <c r="C64" s="134">
        <v>2</v>
      </c>
      <c r="D64" s="134">
        <v>2</v>
      </c>
      <c r="E64" s="134">
        <v>2</v>
      </c>
      <c r="F64" s="134">
        <v>2</v>
      </c>
      <c r="G64" s="134">
        <v>2</v>
      </c>
      <c r="H64" s="134">
        <v>2</v>
      </c>
      <c r="I64" s="217">
        <v>2</v>
      </c>
      <c r="J64" s="217">
        <v>2</v>
      </c>
      <c r="K64" s="217">
        <v>2</v>
      </c>
      <c r="L64" s="217">
        <v>2</v>
      </c>
      <c r="M64" s="217">
        <v>2</v>
      </c>
      <c r="N64" s="134">
        <v>2</v>
      </c>
      <c r="O64" s="134">
        <v>2</v>
      </c>
      <c r="P64" s="217">
        <v>2</v>
      </c>
      <c r="Q64" s="217">
        <v>2</v>
      </c>
      <c r="R64" s="217">
        <v>2</v>
      </c>
      <c r="S64" s="217">
        <v>2</v>
      </c>
      <c r="T64" s="217">
        <v>2</v>
      </c>
      <c r="U64" s="217">
        <v>2</v>
      </c>
      <c r="V64" s="217">
        <v>2</v>
      </c>
      <c r="W64" s="217">
        <v>2</v>
      </c>
      <c r="X64" s="217">
        <v>2</v>
      </c>
      <c r="Y64" s="217">
        <v>2</v>
      </c>
      <c r="Z64" s="217">
        <v>2</v>
      </c>
      <c r="AA64" s="573">
        <v>63</v>
      </c>
    </row>
    <row r="65" spans="1:27" ht="15">
      <c r="A65" s="133"/>
      <c r="B65" s="217" t="s">
        <v>1364</v>
      </c>
      <c r="C65" s="217" t="s">
        <v>1364</v>
      </c>
      <c r="D65" s="217" t="s">
        <v>1364</v>
      </c>
      <c r="E65" s="217" t="s">
        <v>1364</v>
      </c>
      <c r="F65" s="217" t="s">
        <v>1364</v>
      </c>
      <c r="G65" s="217" t="s">
        <v>1364</v>
      </c>
      <c r="H65" s="217" t="s">
        <v>1364</v>
      </c>
      <c r="I65" s="217" t="s">
        <v>1364</v>
      </c>
      <c r="J65" s="217" t="s">
        <v>1364</v>
      </c>
      <c r="K65" s="217" t="s">
        <v>1364</v>
      </c>
      <c r="L65" s="217" t="s">
        <v>1364</v>
      </c>
      <c r="M65" s="217" t="s">
        <v>1364</v>
      </c>
      <c r="N65" s="217" t="s">
        <v>1364</v>
      </c>
      <c r="O65" s="217" t="s">
        <v>1364</v>
      </c>
      <c r="P65" s="217" t="s">
        <v>1364</v>
      </c>
      <c r="Q65" s="217" t="s">
        <v>1364</v>
      </c>
      <c r="R65" s="217" t="s">
        <v>1364</v>
      </c>
      <c r="S65" s="217" t="s">
        <v>1364</v>
      </c>
      <c r="T65" s="217" t="s">
        <v>1364</v>
      </c>
      <c r="U65" s="217" t="s">
        <v>1364</v>
      </c>
      <c r="V65" s="217" t="s">
        <v>1364</v>
      </c>
      <c r="W65" s="217" t="s">
        <v>1364</v>
      </c>
      <c r="X65" s="217" t="s">
        <v>1364</v>
      </c>
      <c r="Y65" s="217" t="s">
        <v>1364</v>
      </c>
      <c r="Z65" s="217" t="s">
        <v>1364</v>
      </c>
      <c r="AA65" s="573">
        <v>64</v>
      </c>
    </row>
    <row r="66" spans="1:27" ht="15">
      <c r="A66" s="133"/>
      <c r="B66" s="217" t="s">
        <v>1363</v>
      </c>
      <c r="C66" s="217" t="s">
        <v>1363</v>
      </c>
      <c r="D66" s="217" t="s">
        <v>1363</v>
      </c>
      <c r="E66" s="217" t="s">
        <v>1363</v>
      </c>
      <c r="F66" s="217" t="s">
        <v>1363</v>
      </c>
      <c r="G66" s="217" t="s">
        <v>1363</v>
      </c>
      <c r="H66" s="217" t="s">
        <v>1363</v>
      </c>
      <c r="I66" s="217" t="s">
        <v>1363</v>
      </c>
      <c r="J66" s="217" t="s">
        <v>1363</v>
      </c>
      <c r="K66" s="217" t="s">
        <v>1363</v>
      </c>
      <c r="L66" s="217" t="s">
        <v>1363</v>
      </c>
      <c r="M66" s="217" t="s">
        <v>1363</v>
      </c>
      <c r="N66" s="217" t="s">
        <v>1363</v>
      </c>
      <c r="O66" s="217" t="s">
        <v>1363</v>
      </c>
      <c r="P66" s="217" t="s">
        <v>1363</v>
      </c>
      <c r="Q66" s="217" t="s">
        <v>1363</v>
      </c>
      <c r="R66" s="217" t="s">
        <v>1363</v>
      </c>
      <c r="S66" s="217" t="s">
        <v>1363</v>
      </c>
      <c r="T66" s="217" t="s">
        <v>1363</v>
      </c>
      <c r="U66" s="217" t="s">
        <v>1363</v>
      </c>
      <c r="V66" s="217" t="s">
        <v>1363</v>
      </c>
      <c r="W66" s="217" t="s">
        <v>1363</v>
      </c>
      <c r="X66" s="217" t="s">
        <v>1363</v>
      </c>
      <c r="Y66" s="217" t="s">
        <v>1363</v>
      </c>
      <c r="Z66" s="217" t="s">
        <v>1363</v>
      </c>
      <c r="AA66" s="573">
        <v>65</v>
      </c>
    </row>
    <row r="67" spans="1:27" ht="15">
      <c r="A67" s="133"/>
      <c r="B67" s="217" t="s">
        <v>1362</v>
      </c>
      <c r="C67" s="217" t="s">
        <v>1362</v>
      </c>
      <c r="D67" s="217" t="s">
        <v>1362</v>
      </c>
      <c r="E67" s="217" t="s">
        <v>1362</v>
      </c>
      <c r="F67" s="217" t="s">
        <v>1362</v>
      </c>
      <c r="G67" s="217" t="s">
        <v>1362</v>
      </c>
      <c r="H67" s="217" t="s">
        <v>1362</v>
      </c>
      <c r="I67" s="217" t="s">
        <v>1362</v>
      </c>
      <c r="J67" s="217" t="s">
        <v>1362</v>
      </c>
      <c r="K67" s="217" t="s">
        <v>1362</v>
      </c>
      <c r="L67" s="217" t="s">
        <v>1362</v>
      </c>
      <c r="M67" s="217" t="s">
        <v>1362</v>
      </c>
      <c r="N67" s="217" t="s">
        <v>1362</v>
      </c>
      <c r="O67" s="217" t="s">
        <v>1362</v>
      </c>
      <c r="P67" s="217" t="s">
        <v>1362</v>
      </c>
      <c r="Q67" s="217" t="s">
        <v>1362</v>
      </c>
      <c r="R67" s="217" t="s">
        <v>1362</v>
      </c>
      <c r="S67" s="217" t="s">
        <v>1362</v>
      </c>
      <c r="T67" s="217" t="s">
        <v>1362</v>
      </c>
      <c r="U67" s="217" t="s">
        <v>1362</v>
      </c>
      <c r="V67" s="217" t="s">
        <v>1362</v>
      </c>
      <c r="W67" s="217" t="s">
        <v>1362</v>
      </c>
      <c r="X67" s="217" t="s">
        <v>1362</v>
      </c>
      <c r="Y67" s="217" t="s">
        <v>1362</v>
      </c>
      <c r="Z67" s="217" t="s">
        <v>1362</v>
      </c>
      <c r="AA67" s="573">
        <v>66</v>
      </c>
    </row>
    <row r="68" spans="1:27" ht="15">
      <c r="A68" s="133"/>
      <c r="B68" s="134">
        <v>3</v>
      </c>
      <c r="C68" s="134">
        <v>3</v>
      </c>
      <c r="D68" s="134">
        <v>3</v>
      </c>
      <c r="E68" s="134">
        <v>3</v>
      </c>
      <c r="F68" s="134">
        <v>3</v>
      </c>
      <c r="G68" s="134">
        <v>3</v>
      </c>
      <c r="H68" s="134">
        <v>3</v>
      </c>
      <c r="I68" s="217">
        <v>3</v>
      </c>
      <c r="J68" s="217">
        <v>3</v>
      </c>
      <c r="K68" s="217">
        <v>3</v>
      </c>
      <c r="L68" s="217">
        <v>3</v>
      </c>
      <c r="M68" s="217">
        <v>3</v>
      </c>
      <c r="N68" s="134">
        <v>3</v>
      </c>
      <c r="O68" s="134">
        <v>3</v>
      </c>
      <c r="P68" s="217">
        <v>3</v>
      </c>
      <c r="Q68" s="217">
        <v>3</v>
      </c>
      <c r="R68" s="217">
        <v>3</v>
      </c>
      <c r="S68" s="217">
        <v>3</v>
      </c>
      <c r="T68" s="217">
        <v>3</v>
      </c>
      <c r="U68" s="217">
        <v>3</v>
      </c>
      <c r="V68" s="217">
        <v>3</v>
      </c>
      <c r="W68" s="217">
        <v>3</v>
      </c>
      <c r="X68" s="217">
        <v>3</v>
      </c>
      <c r="Y68" s="217">
        <v>3</v>
      </c>
      <c r="Z68" s="217">
        <v>3</v>
      </c>
      <c r="AA68" s="573">
        <v>67</v>
      </c>
    </row>
    <row r="69" spans="1:27" ht="72">
      <c r="A69" s="133"/>
      <c r="B69" s="237" t="s">
        <v>1460</v>
      </c>
      <c r="C69" s="237" t="s">
        <v>1460</v>
      </c>
      <c r="D69" s="237" t="s">
        <v>1460</v>
      </c>
      <c r="E69" s="237" t="s">
        <v>1460</v>
      </c>
      <c r="F69" s="237" t="s">
        <v>1460</v>
      </c>
      <c r="G69" s="237" t="s">
        <v>1460</v>
      </c>
      <c r="H69" s="237" t="s">
        <v>1460</v>
      </c>
      <c r="I69" s="237" t="s">
        <v>1460</v>
      </c>
      <c r="J69" s="237" t="s">
        <v>1460</v>
      </c>
      <c r="K69" s="237" t="s">
        <v>1460</v>
      </c>
      <c r="L69" s="237" t="s">
        <v>1460</v>
      </c>
      <c r="M69" s="237" t="s">
        <v>1460</v>
      </c>
      <c r="N69" s="237" t="s">
        <v>1460</v>
      </c>
      <c r="O69" s="237" t="s">
        <v>1460</v>
      </c>
      <c r="P69" s="237" t="s">
        <v>1460</v>
      </c>
      <c r="Q69" s="237" t="s">
        <v>1460</v>
      </c>
      <c r="R69" s="237" t="s">
        <v>1460</v>
      </c>
      <c r="S69" s="237" t="s">
        <v>1460</v>
      </c>
      <c r="T69" s="237" t="s">
        <v>1460</v>
      </c>
      <c r="U69" s="237" t="s">
        <v>1460</v>
      </c>
      <c r="V69" s="237" t="s">
        <v>1460</v>
      </c>
      <c r="W69" s="237" t="s">
        <v>1460</v>
      </c>
      <c r="X69" s="237" t="s">
        <v>1460</v>
      </c>
      <c r="Y69" s="237" t="s">
        <v>1460</v>
      </c>
      <c r="Z69" s="237" t="s">
        <v>1460</v>
      </c>
      <c r="AA69" s="573">
        <v>68</v>
      </c>
    </row>
    <row r="70" spans="1:27" ht="72">
      <c r="A70" s="133"/>
      <c r="B70" s="237" t="s">
        <v>1461</v>
      </c>
      <c r="C70" s="237" t="s">
        <v>1461</v>
      </c>
      <c r="D70" s="237" t="s">
        <v>1461</v>
      </c>
      <c r="E70" s="237" t="s">
        <v>1461</v>
      </c>
      <c r="F70" s="237" t="s">
        <v>1461</v>
      </c>
      <c r="G70" s="237" t="s">
        <v>1461</v>
      </c>
      <c r="H70" s="237" t="s">
        <v>1461</v>
      </c>
      <c r="I70" s="237" t="s">
        <v>1461</v>
      </c>
      <c r="J70" s="237" t="s">
        <v>1461</v>
      </c>
      <c r="K70" s="237" t="s">
        <v>1461</v>
      </c>
      <c r="L70" s="237" t="s">
        <v>1461</v>
      </c>
      <c r="M70" s="237" t="s">
        <v>1461</v>
      </c>
      <c r="N70" s="237" t="s">
        <v>1461</v>
      </c>
      <c r="O70" s="237" t="s">
        <v>1461</v>
      </c>
      <c r="P70" s="237" t="s">
        <v>1461</v>
      </c>
      <c r="Q70" s="237" t="s">
        <v>1461</v>
      </c>
      <c r="R70" s="237" t="s">
        <v>1461</v>
      </c>
      <c r="S70" s="237" t="s">
        <v>1461</v>
      </c>
      <c r="T70" s="237" t="s">
        <v>1461</v>
      </c>
      <c r="U70" s="237" t="s">
        <v>1461</v>
      </c>
      <c r="V70" s="237" t="s">
        <v>1461</v>
      </c>
      <c r="W70" s="237" t="s">
        <v>1461</v>
      </c>
      <c r="X70" s="237" t="s">
        <v>1461</v>
      </c>
      <c r="Y70" s="237" t="s">
        <v>1461</v>
      </c>
      <c r="Z70" s="237" t="s">
        <v>1461</v>
      </c>
      <c r="AA70" s="573">
        <v>69</v>
      </c>
    </row>
    <row r="71" spans="1:27" ht="15">
      <c r="A71" s="133"/>
      <c r="B71" s="136" t="s">
        <v>1073</v>
      </c>
      <c r="C71" s="136" t="s">
        <v>1073</v>
      </c>
      <c r="D71" s="136" t="s">
        <v>1073</v>
      </c>
      <c r="E71" s="136" t="s">
        <v>1073</v>
      </c>
      <c r="F71" s="136" t="s">
        <v>1073</v>
      </c>
      <c r="G71" s="136" t="s">
        <v>1073</v>
      </c>
      <c r="H71" s="136" t="s">
        <v>1073</v>
      </c>
      <c r="I71" s="153" t="s">
        <v>1073</v>
      </c>
      <c r="J71" s="153" t="s">
        <v>1073</v>
      </c>
      <c r="K71" s="153" t="s">
        <v>1073</v>
      </c>
      <c r="L71" s="153" t="s">
        <v>1073</v>
      </c>
      <c r="M71" s="153" t="s">
        <v>1073</v>
      </c>
      <c r="N71" s="136" t="s">
        <v>1073</v>
      </c>
      <c r="O71" s="136" t="s">
        <v>1073</v>
      </c>
      <c r="P71" s="153" t="s">
        <v>1073</v>
      </c>
      <c r="Q71" s="153" t="s">
        <v>1073</v>
      </c>
      <c r="R71" s="153" t="s">
        <v>1073</v>
      </c>
      <c r="S71" s="153" t="s">
        <v>1073</v>
      </c>
      <c r="T71" s="153" t="s">
        <v>1073</v>
      </c>
      <c r="U71" s="153" t="s">
        <v>1073</v>
      </c>
      <c r="V71" s="153" t="s">
        <v>1073</v>
      </c>
      <c r="W71" s="153" t="s">
        <v>1073</v>
      </c>
      <c r="X71" s="153" t="s">
        <v>1073</v>
      </c>
      <c r="Y71" s="153" t="s">
        <v>1073</v>
      </c>
      <c r="Z71" s="153" t="s">
        <v>1073</v>
      </c>
      <c r="AA71" s="573">
        <v>70</v>
      </c>
    </row>
    <row r="72" spans="1:27" ht="15">
      <c r="A72" s="135" t="s">
        <v>1206</v>
      </c>
      <c r="B72" s="136" t="s">
        <v>1073</v>
      </c>
      <c r="C72" s="136" t="s">
        <v>1073</v>
      </c>
      <c r="D72" s="136" t="s">
        <v>1073</v>
      </c>
      <c r="E72" s="136" t="s">
        <v>1073</v>
      </c>
      <c r="F72" s="136" t="s">
        <v>1073</v>
      </c>
      <c r="G72" s="136" t="s">
        <v>1073</v>
      </c>
      <c r="H72" s="136" t="s">
        <v>1073</v>
      </c>
      <c r="I72" s="153" t="s">
        <v>1073</v>
      </c>
      <c r="J72" s="153" t="s">
        <v>1073</v>
      </c>
      <c r="K72" s="153" t="s">
        <v>1073</v>
      </c>
      <c r="L72" s="153" t="s">
        <v>1073</v>
      </c>
      <c r="M72" s="153" t="s">
        <v>1073</v>
      </c>
      <c r="N72" s="136" t="s">
        <v>1073</v>
      </c>
      <c r="O72" s="136" t="s">
        <v>1073</v>
      </c>
      <c r="P72" s="153" t="s">
        <v>1073</v>
      </c>
      <c r="Q72" s="153" t="s">
        <v>1073</v>
      </c>
      <c r="R72" s="153" t="s">
        <v>1073</v>
      </c>
      <c r="S72" s="153" t="s">
        <v>1073</v>
      </c>
      <c r="T72" s="153" t="s">
        <v>1073</v>
      </c>
      <c r="U72" s="153" t="s">
        <v>1073</v>
      </c>
      <c r="V72" s="153" t="s">
        <v>1073</v>
      </c>
      <c r="W72" s="153" t="s">
        <v>1073</v>
      </c>
      <c r="X72" s="153" t="s">
        <v>1073</v>
      </c>
      <c r="Y72" s="153" t="s">
        <v>1073</v>
      </c>
      <c r="Z72" s="153" t="s">
        <v>1073</v>
      </c>
      <c r="AA72" s="573">
        <v>71</v>
      </c>
    </row>
    <row r="73" spans="1:27" ht="15">
      <c r="A73" s="140" t="s">
        <v>1070</v>
      </c>
      <c r="B73" s="134" t="s">
        <v>48</v>
      </c>
      <c r="C73" s="134" t="s">
        <v>56</v>
      </c>
      <c r="D73" s="134" t="s">
        <v>57</v>
      </c>
      <c r="E73" s="134" t="s">
        <v>56</v>
      </c>
      <c r="F73" s="134" t="s">
        <v>202</v>
      </c>
      <c r="G73" s="134" t="s">
        <v>17</v>
      </c>
      <c r="H73" s="134" t="s">
        <v>202</v>
      </c>
      <c r="I73" s="217" t="s">
        <v>36</v>
      </c>
      <c r="J73" s="217" t="s">
        <v>36</v>
      </c>
      <c r="K73" s="217" t="s">
        <v>56</v>
      </c>
      <c r="L73" s="217" t="s">
        <v>36</v>
      </c>
      <c r="M73" s="217" t="s">
        <v>36</v>
      </c>
      <c r="N73" s="134" t="s">
        <v>202</v>
      </c>
      <c r="O73" s="134" t="s">
        <v>202</v>
      </c>
      <c r="P73" s="217" t="s">
        <v>36</v>
      </c>
      <c r="Q73" s="217" t="s">
        <v>36</v>
      </c>
      <c r="R73" s="217" t="s">
        <v>36</v>
      </c>
      <c r="S73" s="217" t="s">
        <v>36</v>
      </c>
      <c r="T73" s="217" t="s">
        <v>1091</v>
      </c>
      <c r="U73" s="217" t="s">
        <v>1093</v>
      </c>
      <c r="V73" s="217" t="s">
        <v>1091</v>
      </c>
      <c r="W73" s="217" t="s">
        <v>1094</v>
      </c>
      <c r="X73" s="217" t="s">
        <v>36</v>
      </c>
      <c r="Y73" s="217" t="s">
        <v>1096</v>
      </c>
      <c r="Z73" s="217" t="s">
        <v>1240</v>
      </c>
      <c r="AA73" s="573">
        <v>72</v>
      </c>
    </row>
    <row r="74" spans="1:27" ht="15">
      <c r="A74" s="133" t="s">
        <v>1073</v>
      </c>
      <c r="B74" s="136" t="s">
        <v>777</v>
      </c>
      <c r="C74" s="136" t="s">
        <v>817</v>
      </c>
      <c r="D74" s="136" t="s">
        <v>161</v>
      </c>
      <c r="E74" s="136" t="s">
        <v>817</v>
      </c>
      <c r="F74" s="136" t="s">
        <v>127</v>
      </c>
      <c r="G74" s="136" t="s">
        <v>137</v>
      </c>
      <c r="H74" s="136" t="s">
        <v>127</v>
      </c>
      <c r="I74" s="153" t="s">
        <v>242</v>
      </c>
      <c r="J74" s="153" t="s">
        <v>242</v>
      </c>
      <c r="K74" s="153" t="s">
        <v>817</v>
      </c>
      <c r="L74" s="153" t="s">
        <v>242</v>
      </c>
      <c r="M74" s="153" t="s">
        <v>242</v>
      </c>
      <c r="N74" s="136" t="s">
        <v>127</v>
      </c>
      <c r="O74" s="136" t="s">
        <v>127</v>
      </c>
      <c r="P74" s="153" t="s">
        <v>242</v>
      </c>
      <c r="Q74" s="153" t="s">
        <v>242</v>
      </c>
      <c r="R74" s="153" t="s">
        <v>242</v>
      </c>
      <c r="S74" s="153" t="s">
        <v>242</v>
      </c>
      <c r="T74" s="153" t="s">
        <v>1492</v>
      </c>
      <c r="U74" s="153" t="s">
        <v>1480</v>
      </c>
      <c r="V74" s="153" t="s">
        <v>1492</v>
      </c>
      <c r="W74" s="153" t="s">
        <v>1558</v>
      </c>
      <c r="X74" s="153" t="s">
        <v>242</v>
      </c>
      <c r="Y74" s="153" t="s">
        <v>1632</v>
      </c>
      <c r="Z74" s="153" t="s">
        <v>1633</v>
      </c>
      <c r="AA74" s="573">
        <v>73</v>
      </c>
    </row>
    <row r="75" spans="1:27" ht="15">
      <c r="A75" s="140" t="s">
        <v>69</v>
      </c>
      <c r="B75" s="136" t="s">
        <v>1215</v>
      </c>
      <c r="C75" s="136" t="s">
        <v>1215</v>
      </c>
      <c r="D75" s="136" t="s">
        <v>1215</v>
      </c>
      <c r="E75" s="136" t="s">
        <v>1215</v>
      </c>
      <c r="F75" s="136" t="s">
        <v>1215</v>
      </c>
      <c r="G75" s="136" t="s">
        <v>1215</v>
      </c>
      <c r="H75" s="136" t="s">
        <v>1215</v>
      </c>
      <c r="I75" s="153" t="s">
        <v>1215</v>
      </c>
      <c r="J75" s="153" t="s">
        <v>1215</v>
      </c>
      <c r="K75" s="153" t="s">
        <v>1215</v>
      </c>
      <c r="L75" s="153" t="s">
        <v>1215</v>
      </c>
      <c r="M75" s="153" t="s">
        <v>1215</v>
      </c>
      <c r="N75" s="136" t="s">
        <v>1215</v>
      </c>
      <c r="O75" s="136" t="s">
        <v>1215</v>
      </c>
      <c r="P75" s="153" t="s">
        <v>1215</v>
      </c>
      <c r="Q75" s="153" t="s">
        <v>1215</v>
      </c>
      <c r="R75" s="153" t="s">
        <v>1215</v>
      </c>
      <c r="S75" s="153" t="s">
        <v>1215</v>
      </c>
      <c r="T75" s="153" t="s">
        <v>1215</v>
      </c>
      <c r="U75" s="153" t="s">
        <v>1215</v>
      </c>
      <c r="V75" s="153" t="s">
        <v>1215</v>
      </c>
      <c r="W75" s="153" t="s">
        <v>1215</v>
      </c>
      <c r="X75" s="153" t="s">
        <v>1215</v>
      </c>
      <c r="Y75" s="153" t="s">
        <v>1215</v>
      </c>
      <c r="Z75" s="153" t="s">
        <v>1215</v>
      </c>
      <c r="AA75" s="573">
        <v>74</v>
      </c>
    </row>
    <row r="76" spans="1:27" ht="15">
      <c r="A76" s="133"/>
      <c r="B76" s="136" t="s">
        <v>714</v>
      </c>
      <c r="C76" s="136" t="s">
        <v>714</v>
      </c>
      <c r="D76" s="136" t="s">
        <v>714</v>
      </c>
      <c r="E76" s="136" t="s">
        <v>714</v>
      </c>
      <c r="F76" s="136" t="s">
        <v>714</v>
      </c>
      <c r="G76" s="136" t="s">
        <v>714</v>
      </c>
      <c r="H76" s="136" t="s">
        <v>714</v>
      </c>
      <c r="I76" s="153" t="s">
        <v>714</v>
      </c>
      <c r="J76" s="153" t="s">
        <v>714</v>
      </c>
      <c r="K76" s="153" t="s">
        <v>714</v>
      </c>
      <c r="L76" s="153" t="s">
        <v>714</v>
      </c>
      <c r="M76" s="153" t="s">
        <v>714</v>
      </c>
      <c r="N76" s="136" t="s">
        <v>714</v>
      </c>
      <c r="O76" s="136" t="s">
        <v>714</v>
      </c>
      <c r="P76" s="153" t="s">
        <v>714</v>
      </c>
      <c r="Q76" s="153" t="s">
        <v>714</v>
      </c>
      <c r="R76" s="153" t="s">
        <v>714</v>
      </c>
      <c r="S76" s="153" t="s">
        <v>714</v>
      </c>
      <c r="T76" s="153" t="s">
        <v>714</v>
      </c>
      <c r="U76" s="153" t="s">
        <v>714</v>
      </c>
      <c r="V76" s="153" t="s">
        <v>714</v>
      </c>
      <c r="W76" s="153" t="s">
        <v>714</v>
      </c>
      <c r="X76" s="153" t="s">
        <v>714</v>
      </c>
      <c r="Y76" s="153" t="s">
        <v>714</v>
      </c>
      <c r="Z76" s="153" t="s">
        <v>714</v>
      </c>
      <c r="AA76" s="573">
        <v>75</v>
      </c>
    </row>
    <row r="77" spans="1:27" ht="15">
      <c r="A77" s="140" t="s">
        <v>1071</v>
      </c>
      <c r="B77" s="134" t="s">
        <v>48</v>
      </c>
      <c r="C77" s="134" t="s">
        <v>56</v>
      </c>
      <c r="D77" s="134" t="s">
        <v>57</v>
      </c>
      <c r="E77" s="134" t="s">
        <v>56</v>
      </c>
      <c r="F77" s="134" t="s">
        <v>202</v>
      </c>
      <c r="G77" s="134" t="s">
        <v>17</v>
      </c>
      <c r="H77" s="134" t="s">
        <v>202</v>
      </c>
      <c r="I77" s="217" t="s">
        <v>36</v>
      </c>
      <c r="J77" s="217" t="s">
        <v>36</v>
      </c>
      <c r="K77" s="217" t="s">
        <v>56</v>
      </c>
      <c r="L77" s="217" t="s">
        <v>36</v>
      </c>
      <c r="M77" s="217" t="s">
        <v>36</v>
      </c>
      <c r="N77" s="134" t="s">
        <v>202</v>
      </c>
      <c r="O77" s="134" t="s">
        <v>202</v>
      </c>
      <c r="P77" s="217" t="s">
        <v>36</v>
      </c>
      <c r="Q77" s="217" t="s">
        <v>36</v>
      </c>
      <c r="R77" s="217" t="s">
        <v>36</v>
      </c>
      <c r="S77" s="217" t="s">
        <v>36</v>
      </c>
      <c r="T77" s="217" t="s">
        <v>1091</v>
      </c>
      <c r="U77" s="217" t="s">
        <v>1093</v>
      </c>
      <c r="V77" s="217" t="s">
        <v>1091</v>
      </c>
      <c r="W77" s="217" t="s">
        <v>1094</v>
      </c>
      <c r="X77" s="217" t="s">
        <v>36</v>
      </c>
      <c r="Y77" s="217" t="s">
        <v>1096</v>
      </c>
      <c r="Z77" s="217" t="s">
        <v>1240</v>
      </c>
      <c r="AA77" s="573">
        <v>76</v>
      </c>
    </row>
    <row r="78" spans="1:27" ht="15">
      <c r="A78" s="133"/>
      <c r="B78" s="136" t="s">
        <v>777</v>
      </c>
      <c r="C78" s="136" t="s">
        <v>817</v>
      </c>
      <c r="D78" s="136" t="s">
        <v>161</v>
      </c>
      <c r="E78" s="136" t="s">
        <v>817</v>
      </c>
      <c r="F78" s="136" t="s">
        <v>127</v>
      </c>
      <c r="G78" s="136" t="s">
        <v>137</v>
      </c>
      <c r="H78" s="136" t="s">
        <v>127</v>
      </c>
      <c r="I78" s="153" t="s">
        <v>242</v>
      </c>
      <c r="J78" s="153" t="s">
        <v>242</v>
      </c>
      <c r="K78" s="153" t="s">
        <v>817</v>
      </c>
      <c r="L78" s="153" t="s">
        <v>242</v>
      </c>
      <c r="M78" s="153" t="s">
        <v>242</v>
      </c>
      <c r="N78" s="136" t="s">
        <v>127</v>
      </c>
      <c r="O78" s="136" t="s">
        <v>127</v>
      </c>
      <c r="P78" s="153" t="s">
        <v>242</v>
      </c>
      <c r="Q78" s="153" t="s">
        <v>242</v>
      </c>
      <c r="R78" s="153" t="s">
        <v>242</v>
      </c>
      <c r="S78" s="153" t="s">
        <v>242</v>
      </c>
      <c r="T78" s="153" t="s">
        <v>1492</v>
      </c>
      <c r="U78" s="153" t="s">
        <v>1480</v>
      </c>
      <c r="V78" s="153" t="s">
        <v>1492</v>
      </c>
      <c r="W78" s="153" t="s">
        <v>1558</v>
      </c>
      <c r="X78" s="153" t="s">
        <v>242</v>
      </c>
      <c r="Y78" s="153" t="s">
        <v>1632</v>
      </c>
      <c r="Z78" s="153" t="s">
        <v>1633</v>
      </c>
      <c r="AA78" s="573">
        <v>77</v>
      </c>
    </row>
    <row r="79" spans="1:27" ht="15">
      <c r="A79" s="140" t="s">
        <v>1072</v>
      </c>
      <c r="B79" s="134" t="s">
        <v>48</v>
      </c>
      <c r="C79" s="136" t="s">
        <v>1215</v>
      </c>
      <c r="D79" s="136" t="s">
        <v>1215</v>
      </c>
      <c r="E79" s="134" t="s">
        <v>56</v>
      </c>
      <c r="F79" s="136" t="s">
        <v>1215</v>
      </c>
      <c r="G79" s="136" t="s">
        <v>1215</v>
      </c>
      <c r="H79" s="136" t="s">
        <v>1215</v>
      </c>
      <c r="I79" s="153" t="s">
        <v>1215</v>
      </c>
      <c r="J79" s="153" t="s">
        <v>1215</v>
      </c>
      <c r="K79" s="153" t="s">
        <v>1215</v>
      </c>
      <c r="L79" s="153" t="s">
        <v>1215</v>
      </c>
      <c r="M79" s="217" t="s">
        <v>36</v>
      </c>
      <c r="N79" s="136" t="s">
        <v>1215</v>
      </c>
      <c r="O79" s="136" t="s">
        <v>1215</v>
      </c>
      <c r="P79" s="217" t="s">
        <v>36</v>
      </c>
      <c r="Q79" s="217" t="s">
        <v>36</v>
      </c>
      <c r="R79" s="217" t="s">
        <v>36</v>
      </c>
      <c r="S79" s="217" t="s">
        <v>36</v>
      </c>
      <c r="T79" s="153" t="s">
        <v>1215</v>
      </c>
      <c r="U79" s="153" t="s">
        <v>1215</v>
      </c>
      <c r="V79" s="153" t="s">
        <v>1215</v>
      </c>
      <c r="W79" s="217" t="s">
        <v>1094</v>
      </c>
      <c r="X79" s="217" t="s">
        <v>36</v>
      </c>
      <c r="Y79" s="217" t="s">
        <v>1096</v>
      </c>
      <c r="Z79" s="153" t="s">
        <v>1215</v>
      </c>
      <c r="AA79" s="573">
        <v>78</v>
      </c>
    </row>
    <row r="80" spans="1:27" ht="15">
      <c r="A80" s="133"/>
      <c r="B80" s="136" t="s">
        <v>777</v>
      </c>
      <c r="C80" s="136" t="s">
        <v>714</v>
      </c>
      <c r="D80" s="136" t="s">
        <v>714</v>
      </c>
      <c r="E80" s="136" t="s">
        <v>817</v>
      </c>
      <c r="F80" s="136" t="s">
        <v>714</v>
      </c>
      <c r="G80" s="136" t="s">
        <v>714</v>
      </c>
      <c r="H80" s="136" t="s">
        <v>714</v>
      </c>
      <c r="I80" s="153" t="s">
        <v>714</v>
      </c>
      <c r="J80" s="153" t="s">
        <v>714</v>
      </c>
      <c r="K80" s="153" t="s">
        <v>714</v>
      </c>
      <c r="L80" s="153" t="s">
        <v>714</v>
      </c>
      <c r="M80" s="153" t="s">
        <v>242</v>
      </c>
      <c r="N80" s="136" t="s">
        <v>714</v>
      </c>
      <c r="O80" s="136" t="s">
        <v>714</v>
      </c>
      <c r="P80" s="153" t="s">
        <v>242</v>
      </c>
      <c r="Q80" s="153" t="s">
        <v>242</v>
      </c>
      <c r="R80" s="153" t="s">
        <v>242</v>
      </c>
      <c r="S80" s="153" t="s">
        <v>242</v>
      </c>
      <c r="T80" s="153" t="s">
        <v>714</v>
      </c>
      <c r="U80" s="153" t="s">
        <v>714</v>
      </c>
      <c r="V80" s="153" t="s">
        <v>714</v>
      </c>
      <c r="W80" s="153" t="s">
        <v>1558</v>
      </c>
      <c r="X80" s="153" t="s">
        <v>242</v>
      </c>
      <c r="Y80" s="153" t="s">
        <v>1632</v>
      </c>
      <c r="Z80" s="153" t="s">
        <v>714</v>
      </c>
      <c r="AA80" s="573">
        <v>79</v>
      </c>
    </row>
    <row r="81" spans="1:27" ht="15">
      <c r="A81" s="140" t="s">
        <v>1086</v>
      </c>
      <c r="B81" s="134" t="s">
        <v>48</v>
      </c>
      <c r="C81" s="134" t="s">
        <v>56</v>
      </c>
      <c r="D81" s="136" t="s">
        <v>1215</v>
      </c>
      <c r="E81" s="134" t="s">
        <v>56</v>
      </c>
      <c r="F81" s="134" t="s">
        <v>202</v>
      </c>
      <c r="G81" s="134" t="s">
        <v>17</v>
      </c>
      <c r="H81" s="134" t="s">
        <v>202</v>
      </c>
      <c r="I81" s="153" t="s">
        <v>1215</v>
      </c>
      <c r="J81" s="153" t="s">
        <v>1215</v>
      </c>
      <c r="K81" s="153" t="s">
        <v>1215</v>
      </c>
      <c r="L81" s="153" t="s">
        <v>1215</v>
      </c>
      <c r="M81" s="217" t="s">
        <v>36</v>
      </c>
      <c r="N81" s="134" t="s">
        <v>202</v>
      </c>
      <c r="O81" s="134" t="s">
        <v>202</v>
      </c>
      <c r="P81" s="217" t="s">
        <v>36</v>
      </c>
      <c r="Q81" s="217" t="s">
        <v>36</v>
      </c>
      <c r="R81" s="217" t="s">
        <v>36</v>
      </c>
      <c r="S81" s="217" t="s">
        <v>36</v>
      </c>
      <c r="T81" s="153" t="s">
        <v>1215</v>
      </c>
      <c r="U81" s="153" t="s">
        <v>1215</v>
      </c>
      <c r="V81" s="153" t="s">
        <v>1215</v>
      </c>
      <c r="W81" s="153" t="s">
        <v>1215</v>
      </c>
      <c r="X81" s="217" t="s">
        <v>36</v>
      </c>
      <c r="Y81" s="153" t="s">
        <v>1215</v>
      </c>
      <c r="Z81" s="153" t="s">
        <v>1215</v>
      </c>
      <c r="AA81" s="573">
        <v>80</v>
      </c>
    </row>
    <row r="82" spans="1:27" ht="15">
      <c r="A82" s="133"/>
      <c r="B82" s="136" t="s">
        <v>777</v>
      </c>
      <c r="C82" s="136" t="s">
        <v>817</v>
      </c>
      <c r="D82" s="136" t="s">
        <v>714</v>
      </c>
      <c r="E82" s="136" t="s">
        <v>817</v>
      </c>
      <c r="F82" s="136" t="s">
        <v>127</v>
      </c>
      <c r="G82" s="136" t="s">
        <v>137</v>
      </c>
      <c r="H82" s="136" t="s">
        <v>127</v>
      </c>
      <c r="I82" s="153" t="s">
        <v>714</v>
      </c>
      <c r="J82" s="153" t="s">
        <v>714</v>
      </c>
      <c r="K82" s="153" t="s">
        <v>714</v>
      </c>
      <c r="L82" s="153" t="s">
        <v>714</v>
      </c>
      <c r="M82" s="153" t="s">
        <v>242</v>
      </c>
      <c r="N82" s="136" t="s">
        <v>127</v>
      </c>
      <c r="O82" s="136" t="s">
        <v>127</v>
      </c>
      <c r="P82" s="153" t="s">
        <v>242</v>
      </c>
      <c r="Q82" s="153" t="s">
        <v>242</v>
      </c>
      <c r="R82" s="153" t="s">
        <v>242</v>
      </c>
      <c r="S82" s="153" t="s">
        <v>242</v>
      </c>
      <c r="T82" s="153" t="s">
        <v>714</v>
      </c>
      <c r="U82" s="153" t="s">
        <v>714</v>
      </c>
      <c r="V82" s="153" t="s">
        <v>714</v>
      </c>
      <c r="W82" s="153" t="s">
        <v>714</v>
      </c>
      <c r="X82" s="153" t="s">
        <v>242</v>
      </c>
      <c r="Y82" s="153" t="s">
        <v>714</v>
      </c>
      <c r="Z82" s="153" t="s">
        <v>714</v>
      </c>
      <c r="AA82" s="573">
        <v>81</v>
      </c>
    </row>
    <row r="83" spans="1:27" ht="15">
      <c r="A83" s="140" t="s">
        <v>168</v>
      </c>
      <c r="B83" s="136" t="s">
        <v>1215</v>
      </c>
      <c r="C83" s="136" t="s">
        <v>1215</v>
      </c>
      <c r="D83" s="136" t="s">
        <v>1215</v>
      </c>
      <c r="E83" s="136" t="s">
        <v>1215</v>
      </c>
      <c r="F83" s="136" t="s">
        <v>1215</v>
      </c>
      <c r="G83" s="134" t="s">
        <v>17</v>
      </c>
      <c r="H83" s="136" t="s">
        <v>1215</v>
      </c>
      <c r="I83" s="217" t="s">
        <v>36</v>
      </c>
      <c r="J83" s="217" t="s">
        <v>36</v>
      </c>
      <c r="K83" s="153" t="s">
        <v>1215</v>
      </c>
      <c r="L83" s="217" t="s">
        <v>36</v>
      </c>
      <c r="M83" s="217" t="s">
        <v>36</v>
      </c>
      <c r="N83" s="136" t="s">
        <v>1215</v>
      </c>
      <c r="O83" s="136" t="s">
        <v>1215</v>
      </c>
      <c r="P83" s="217" t="s">
        <v>36</v>
      </c>
      <c r="Q83" s="217" t="s">
        <v>36</v>
      </c>
      <c r="R83" s="217" t="s">
        <v>36</v>
      </c>
      <c r="S83" s="217" t="s">
        <v>36</v>
      </c>
      <c r="T83" s="153" t="s">
        <v>1215</v>
      </c>
      <c r="U83" s="217" t="s">
        <v>1093</v>
      </c>
      <c r="V83" s="153" t="s">
        <v>1215</v>
      </c>
      <c r="W83" s="217" t="s">
        <v>1094</v>
      </c>
      <c r="X83" s="217" t="s">
        <v>36</v>
      </c>
      <c r="Y83" s="217" t="s">
        <v>1096</v>
      </c>
      <c r="Z83" s="217" t="s">
        <v>1240</v>
      </c>
      <c r="AA83" s="573">
        <v>82</v>
      </c>
    </row>
    <row r="84" spans="1:27" ht="15">
      <c r="A84" s="140"/>
      <c r="B84" s="136" t="s">
        <v>714</v>
      </c>
      <c r="C84" s="136" t="s">
        <v>714</v>
      </c>
      <c r="D84" s="136" t="s">
        <v>714</v>
      </c>
      <c r="E84" s="136" t="s">
        <v>714</v>
      </c>
      <c r="F84" s="136" t="s">
        <v>714</v>
      </c>
      <c r="G84" s="136" t="s">
        <v>137</v>
      </c>
      <c r="H84" s="136" t="s">
        <v>714</v>
      </c>
      <c r="I84" s="153" t="s">
        <v>242</v>
      </c>
      <c r="J84" s="153" t="s">
        <v>242</v>
      </c>
      <c r="K84" s="153" t="s">
        <v>714</v>
      </c>
      <c r="L84" s="153" t="s">
        <v>242</v>
      </c>
      <c r="M84" s="153" t="s">
        <v>242</v>
      </c>
      <c r="N84" s="136" t="s">
        <v>714</v>
      </c>
      <c r="O84" s="136" t="s">
        <v>714</v>
      </c>
      <c r="P84" s="153" t="s">
        <v>242</v>
      </c>
      <c r="Q84" s="153" t="s">
        <v>242</v>
      </c>
      <c r="R84" s="153" t="s">
        <v>242</v>
      </c>
      <c r="S84" s="153" t="s">
        <v>242</v>
      </c>
      <c r="T84" s="153" t="s">
        <v>714</v>
      </c>
      <c r="U84" s="153" t="s">
        <v>1480</v>
      </c>
      <c r="V84" s="153" t="s">
        <v>714</v>
      </c>
      <c r="W84" s="153" t="s">
        <v>1558</v>
      </c>
      <c r="X84" s="153" t="s">
        <v>242</v>
      </c>
      <c r="Y84" s="153" t="s">
        <v>1632</v>
      </c>
      <c r="Z84" s="153" t="s">
        <v>1633</v>
      </c>
      <c r="AA84" s="573">
        <v>83</v>
      </c>
    </row>
    <row r="85" spans="1:27" ht="15">
      <c r="A85" s="140" t="s">
        <v>20</v>
      </c>
      <c r="B85" s="136" t="s">
        <v>1215</v>
      </c>
      <c r="C85" s="136" t="s">
        <v>1215</v>
      </c>
      <c r="D85" s="136" t="s">
        <v>1215</v>
      </c>
      <c r="E85" s="134" t="s">
        <v>56</v>
      </c>
      <c r="F85" s="136" t="s">
        <v>1215</v>
      </c>
      <c r="G85" s="136" t="s">
        <v>1215</v>
      </c>
      <c r="H85" s="136" t="s">
        <v>1215</v>
      </c>
      <c r="I85" s="217" t="s">
        <v>36</v>
      </c>
      <c r="J85" s="217" t="s">
        <v>36</v>
      </c>
      <c r="K85" s="153" t="s">
        <v>1215</v>
      </c>
      <c r="L85" s="217" t="s">
        <v>36</v>
      </c>
      <c r="M85" s="217" t="s">
        <v>36</v>
      </c>
      <c r="N85" s="136" t="s">
        <v>1215</v>
      </c>
      <c r="O85" s="136" t="s">
        <v>1215</v>
      </c>
      <c r="P85" s="217" t="s">
        <v>36</v>
      </c>
      <c r="Q85" s="217" t="s">
        <v>36</v>
      </c>
      <c r="R85" s="217" t="s">
        <v>36</v>
      </c>
      <c r="S85" s="217" t="s">
        <v>36</v>
      </c>
      <c r="T85" s="153" t="s">
        <v>1215</v>
      </c>
      <c r="U85" s="153" t="s">
        <v>1215</v>
      </c>
      <c r="V85" s="153" t="s">
        <v>1215</v>
      </c>
      <c r="W85" s="153" t="s">
        <v>1215</v>
      </c>
      <c r="X85" s="217" t="s">
        <v>36</v>
      </c>
      <c r="Y85" s="217" t="s">
        <v>1096</v>
      </c>
      <c r="Z85" s="153" t="s">
        <v>1215</v>
      </c>
      <c r="AA85" s="573">
        <v>84</v>
      </c>
    </row>
    <row r="86" spans="1:27" ht="15">
      <c r="A86" s="133"/>
      <c r="B86" s="136" t="s">
        <v>714</v>
      </c>
      <c r="C86" s="136" t="s">
        <v>714</v>
      </c>
      <c r="D86" s="136" t="s">
        <v>714</v>
      </c>
      <c r="E86" s="136" t="s">
        <v>817</v>
      </c>
      <c r="F86" s="136" t="s">
        <v>714</v>
      </c>
      <c r="G86" s="136" t="s">
        <v>714</v>
      </c>
      <c r="H86" s="136" t="s">
        <v>714</v>
      </c>
      <c r="I86" s="153" t="s">
        <v>242</v>
      </c>
      <c r="J86" s="153" t="s">
        <v>242</v>
      </c>
      <c r="K86" s="153" t="s">
        <v>714</v>
      </c>
      <c r="L86" s="153" t="s">
        <v>242</v>
      </c>
      <c r="M86" s="153" t="s">
        <v>242</v>
      </c>
      <c r="N86" s="136" t="s">
        <v>714</v>
      </c>
      <c r="O86" s="136" t="s">
        <v>714</v>
      </c>
      <c r="P86" s="153" t="s">
        <v>242</v>
      </c>
      <c r="Q86" s="153" t="s">
        <v>242</v>
      </c>
      <c r="R86" s="153" t="s">
        <v>242</v>
      </c>
      <c r="S86" s="153" t="s">
        <v>242</v>
      </c>
      <c r="T86" s="153" t="s">
        <v>714</v>
      </c>
      <c r="U86" s="153" t="s">
        <v>714</v>
      </c>
      <c r="V86" s="153" t="s">
        <v>714</v>
      </c>
      <c r="W86" s="153" t="s">
        <v>714</v>
      </c>
      <c r="X86" s="153" t="s">
        <v>242</v>
      </c>
      <c r="Y86" s="153" t="s">
        <v>1632</v>
      </c>
      <c r="Z86" s="153" t="s">
        <v>714</v>
      </c>
      <c r="AA86" s="573">
        <v>85</v>
      </c>
    </row>
    <row r="87" spans="1:27" ht="15">
      <c r="A87" s="140" t="s">
        <v>54</v>
      </c>
      <c r="B87" s="136" t="s">
        <v>1215</v>
      </c>
      <c r="C87" s="136" t="s">
        <v>1215</v>
      </c>
      <c r="D87" s="136" t="s">
        <v>1215</v>
      </c>
      <c r="E87" s="136" t="s">
        <v>1215</v>
      </c>
      <c r="F87" s="136" t="s">
        <v>1215</v>
      </c>
      <c r="G87" s="138" t="str">
        <f>IF(OR(Configurator!$D$12=8,Configurator!$D$14=7,Configurator!$D$14=9),"*","G")</f>
        <v>G</v>
      </c>
      <c r="H87" s="136" t="s">
        <v>1215</v>
      </c>
      <c r="I87" s="153" t="s">
        <v>1215</v>
      </c>
      <c r="J87" s="153" t="s">
        <v>1215</v>
      </c>
      <c r="K87" s="153" t="s">
        <v>1215</v>
      </c>
      <c r="L87" s="153" t="s">
        <v>1215</v>
      </c>
      <c r="M87" s="153" t="s">
        <v>1215</v>
      </c>
      <c r="N87" s="136" t="s">
        <v>1215</v>
      </c>
      <c r="O87" s="136" t="s">
        <v>1215</v>
      </c>
      <c r="P87" s="153" t="s">
        <v>1215</v>
      </c>
      <c r="Q87" s="153" t="s">
        <v>1215</v>
      </c>
      <c r="R87" s="153" t="s">
        <v>1215</v>
      </c>
      <c r="S87" s="153" t="s">
        <v>1215</v>
      </c>
      <c r="T87" s="153" t="s">
        <v>1215</v>
      </c>
      <c r="U87" s="153" t="s">
        <v>1215</v>
      </c>
      <c r="V87" s="153" t="s">
        <v>1215</v>
      </c>
      <c r="W87" s="153" t="s">
        <v>1215</v>
      </c>
      <c r="X87" s="153" t="s">
        <v>1215</v>
      </c>
      <c r="Y87" s="153" t="s">
        <v>1215</v>
      </c>
      <c r="Z87" s="153" t="s">
        <v>1215</v>
      </c>
      <c r="AA87" s="573">
        <v>86</v>
      </c>
    </row>
    <row r="88" spans="1:27" ht="15">
      <c r="A88" s="133"/>
      <c r="B88" s="136" t="s">
        <v>714</v>
      </c>
      <c r="C88" s="136" t="s">
        <v>714</v>
      </c>
      <c r="D88" s="136" t="s">
        <v>714</v>
      </c>
      <c r="E88" s="136" t="s">
        <v>714</v>
      </c>
      <c r="F88" s="136" t="s">
        <v>714</v>
      </c>
      <c r="G88" s="138" t="str">
        <f>IF(OR(Configurator!$D$12=8,Configurator!$D$14=7,Configurator!$D$14=9),"-6**","-633")</f>
        <v>-633</v>
      </c>
      <c r="H88" s="136" t="s">
        <v>714</v>
      </c>
      <c r="I88" s="153" t="s">
        <v>714</v>
      </c>
      <c r="J88" s="153" t="s">
        <v>714</v>
      </c>
      <c r="K88" s="153" t="s">
        <v>714</v>
      </c>
      <c r="L88" s="153" t="s">
        <v>714</v>
      </c>
      <c r="M88" s="153" t="s">
        <v>714</v>
      </c>
      <c r="N88" s="136" t="s">
        <v>714</v>
      </c>
      <c r="O88" s="136" t="s">
        <v>714</v>
      </c>
      <c r="P88" s="153" t="s">
        <v>714</v>
      </c>
      <c r="Q88" s="153" t="s">
        <v>714</v>
      </c>
      <c r="R88" s="153" t="s">
        <v>714</v>
      </c>
      <c r="S88" s="153" t="s">
        <v>714</v>
      </c>
      <c r="T88" s="153" t="s">
        <v>714</v>
      </c>
      <c r="U88" s="153" t="s">
        <v>714</v>
      </c>
      <c r="V88" s="153" t="s">
        <v>714</v>
      </c>
      <c r="W88" s="153" t="s">
        <v>714</v>
      </c>
      <c r="X88" s="153" t="s">
        <v>714</v>
      </c>
      <c r="Y88" s="153" t="s">
        <v>714</v>
      </c>
      <c r="Z88" s="153" t="s">
        <v>714</v>
      </c>
      <c r="AA88" s="573">
        <v>87</v>
      </c>
    </row>
    <row r="89" spans="1:27" ht="15">
      <c r="A89" s="135" t="s">
        <v>1207</v>
      </c>
      <c r="B89" s="136" t="s">
        <v>1073</v>
      </c>
      <c r="C89" s="136" t="s">
        <v>1073</v>
      </c>
      <c r="D89" s="136" t="s">
        <v>1073</v>
      </c>
      <c r="E89" s="136" t="s">
        <v>1073</v>
      </c>
      <c r="F89" s="136" t="s">
        <v>1073</v>
      </c>
      <c r="G89" s="136" t="s">
        <v>1073</v>
      </c>
      <c r="H89" s="136" t="s">
        <v>1073</v>
      </c>
      <c r="I89" s="153" t="s">
        <v>1073</v>
      </c>
      <c r="J89" s="153" t="s">
        <v>1073</v>
      </c>
      <c r="K89" s="153" t="s">
        <v>1073</v>
      </c>
      <c r="L89" s="153" t="s">
        <v>1073</v>
      </c>
      <c r="M89" s="153" t="s">
        <v>1073</v>
      </c>
      <c r="N89" s="136" t="s">
        <v>1073</v>
      </c>
      <c r="O89" s="136" t="s">
        <v>1073</v>
      </c>
      <c r="P89" s="153" t="s">
        <v>1073</v>
      </c>
      <c r="Q89" s="153" t="s">
        <v>1073</v>
      </c>
      <c r="R89" s="153" t="s">
        <v>1073</v>
      </c>
      <c r="S89" s="153" t="s">
        <v>1073</v>
      </c>
      <c r="T89" s="153" t="s">
        <v>1073</v>
      </c>
      <c r="U89" s="153" t="s">
        <v>1073</v>
      </c>
      <c r="V89" s="153" t="s">
        <v>1073</v>
      </c>
      <c r="W89" s="153" t="s">
        <v>1073</v>
      </c>
      <c r="X89" s="153" t="s">
        <v>1073</v>
      </c>
      <c r="Y89" s="153" t="s">
        <v>1073</v>
      </c>
      <c r="Z89" s="153" t="s">
        <v>1073</v>
      </c>
      <c r="AA89" s="573">
        <v>88</v>
      </c>
    </row>
    <row r="90" spans="1:27" ht="15">
      <c r="A90" s="140" t="s">
        <v>1070</v>
      </c>
      <c r="B90" s="134" t="s">
        <v>200</v>
      </c>
      <c r="C90" s="136" t="s">
        <v>1073</v>
      </c>
      <c r="D90" s="136" t="s">
        <v>1073</v>
      </c>
      <c r="E90" s="134" t="s">
        <v>1093</v>
      </c>
      <c r="F90" s="136" t="s">
        <v>1073</v>
      </c>
      <c r="G90" s="136" t="s">
        <v>1073</v>
      </c>
      <c r="H90" s="134" t="s">
        <v>1094</v>
      </c>
      <c r="I90" s="153" t="s">
        <v>1073</v>
      </c>
      <c r="J90" s="153" t="s">
        <v>1073</v>
      </c>
      <c r="K90" s="217" t="s">
        <v>1096</v>
      </c>
      <c r="L90" s="153" t="s">
        <v>1073</v>
      </c>
      <c r="M90" s="217" t="s">
        <v>1240</v>
      </c>
      <c r="N90" s="134" t="s">
        <v>17</v>
      </c>
      <c r="O90" s="134" t="s">
        <v>46</v>
      </c>
      <c r="P90" s="217" t="s">
        <v>36</v>
      </c>
      <c r="Q90" s="217" t="s">
        <v>38</v>
      </c>
      <c r="R90" s="217" t="s">
        <v>39</v>
      </c>
      <c r="S90" s="217" t="s">
        <v>45</v>
      </c>
      <c r="T90" s="153" t="s">
        <v>1073</v>
      </c>
      <c r="U90" s="153" t="s">
        <v>1073</v>
      </c>
      <c r="V90" s="217" t="s">
        <v>1091</v>
      </c>
      <c r="W90" s="217" t="s">
        <v>1091</v>
      </c>
      <c r="X90" s="217" t="s">
        <v>57</v>
      </c>
      <c r="Y90" s="153" t="s">
        <v>1073</v>
      </c>
      <c r="Z90" s="153" t="s">
        <v>1073</v>
      </c>
      <c r="AA90" s="573">
        <v>89</v>
      </c>
    </row>
    <row r="91" spans="1:27" ht="15">
      <c r="A91" s="133" t="s">
        <v>1073</v>
      </c>
      <c r="B91" s="136" t="s">
        <v>806</v>
      </c>
      <c r="C91" s="136" t="s">
        <v>1073</v>
      </c>
      <c r="D91" s="136" t="s">
        <v>1073</v>
      </c>
      <c r="E91" s="136" t="s">
        <v>563</v>
      </c>
      <c r="F91" s="136" t="s">
        <v>1073</v>
      </c>
      <c r="G91" s="136" t="s">
        <v>1073</v>
      </c>
      <c r="H91" s="136" t="s">
        <v>903</v>
      </c>
      <c r="I91" s="153" t="s">
        <v>1073</v>
      </c>
      <c r="J91" s="153" t="s">
        <v>1073</v>
      </c>
      <c r="K91" s="153" t="s">
        <v>692</v>
      </c>
      <c r="L91" s="153" t="s">
        <v>1073</v>
      </c>
      <c r="M91" s="153" t="s">
        <v>639</v>
      </c>
      <c r="N91" s="136" t="s">
        <v>662</v>
      </c>
      <c r="O91" s="136" t="s">
        <v>1493</v>
      </c>
      <c r="P91" s="153" t="s">
        <v>1243</v>
      </c>
      <c r="Q91" s="153" t="s">
        <v>1266</v>
      </c>
      <c r="R91" s="153" t="s">
        <v>1290</v>
      </c>
      <c r="S91" s="153" t="s">
        <v>1491</v>
      </c>
      <c r="T91" s="153" t="s">
        <v>1073</v>
      </c>
      <c r="U91" s="153" t="s">
        <v>1073</v>
      </c>
      <c r="V91" s="153" t="s">
        <v>1241</v>
      </c>
      <c r="W91" s="153" t="s">
        <v>1241</v>
      </c>
      <c r="X91" s="153" t="s">
        <v>1575</v>
      </c>
      <c r="Y91" s="153" t="s">
        <v>1073</v>
      </c>
      <c r="Z91" s="153" t="s">
        <v>1073</v>
      </c>
      <c r="AA91" s="573">
        <v>90</v>
      </c>
    </row>
    <row r="92" spans="1:27" ht="15">
      <c r="A92" s="140" t="s">
        <v>69</v>
      </c>
      <c r="B92" s="136" t="s">
        <v>1215</v>
      </c>
      <c r="C92" s="136" t="s">
        <v>1215</v>
      </c>
      <c r="D92" s="136" t="s">
        <v>1215</v>
      </c>
      <c r="E92" s="136" t="s">
        <v>1215</v>
      </c>
      <c r="F92" s="136" t="s">
        <v>1215</v>
      </c>
      <c r="G92" s="136" t="s">
        <v>1215</v>
      </c>
      <c r="H92" s="136" t="s">
        <v>1215</v>
      </c>
      <c r="I92" s="153" t="s">
        <v>1215</v>
      </c>
      <c r="J92" s="153" t="s">
        <v>1215</v>
      </c>
      <c r="K92" s="153" t="s">
        <v>1215</v>
      </c>
      <c r="L92" s="153" t="s">
        <v>1215</v>
      </c>
      <c r="M92" s="153" t="s">
        <v>1215</v>
      </c>
      <c r="N92" s="136" t="s">
        <v>1215</v>
      </c>
      <c r="O92" s="136" t="s">
        <v>1215</v>
      </c>
      <c r="P92" s="153" t="s">
        <v>1215</v>
      </c>
      <c r="Q92" s="153" t="s">
        <v>1215</v>
      </c>
      <c r="R92" s="153" t="s">
        <v>1215</v>
      </c>
      <c r="S92" s="153" t="s">
        <v>1215</v>
      </c>
      <c r="T92" s="153" t="s">
        <v>1215</v>
      </c>
      <c r="U92" s="153" t="s">
        <v>1215</v>
      </c>
      <c r="V92" s="153" t="s">
        <v>1215</v>
      </c>
      <c r="W92" s="153" t="s">
        <v>1215</v>
      </c>
      <c r="X92" s="153" t="s">
        <v>1215</v>
      </c>
      <c r="Y92" s="153" t="s">
        <v>1215</v>
      </c>
      <c r="Z92" s="153" t="s">
        <v>1215</v>
      </c>
      <c r="AA92" s="573">
        <v>91</v>
      </c>
    </row>
    <row r="93" spans="1:27" ht="15">
      <c r="A93" s="133"/>
      <c r="B93" s="136" t="s">
        <v>715</v>
      </c>
      <c r="C93" s="136" t="s">
        <v>715</v>
      </c>
      <c r="D93" s="136" t="s">
        <v>715</v>
      </c>
      <c r="E93" s="136" t="s">
        <v>715</v>
      </c>
      <c r="F93" s="136" t="s">
        <v>715</v>
      </c>
      <c r="G93" s="136" t="s">
        <v>715</v>
      </c>
      <c r="H93" s="136" t="s">
        <v>715</v>
      </c>
      <c r="I93" s="153" t="s">
        <v>715</v>
      </c>
      <c r="J93" s="153" t="s">
        <v>715</v>
      </c>
      <c r="K93" s="153" t="s">
        <v>715</v>
      </c>
      <c r="L93" s="153" t="s">
        <v>715</v>
      </c>
      <c r="M93" s="153" t="s">
        <v>715</v>
      </c>
      <c r="N93" s="136" t="s">
        <v>715</v>
      </c>
      <c r="O93" s="136" t="s">
        <v>715</v>
      </c>
      <c r="P93" s="153" t="s">
        <v>715</v>
      </c>
      <c r="Q93" s="153" t="s">
        <v>715</v>
      </c>
      <c r="R93" s="153" t="s">
        <v>715</v>
      </c>
      <c r="S93" s="153" t="s">
        <v>715</v>
      </c>
      <c r="T93" s="153" t="s">
        <v>715</v>
      </c>
      <c r="U93" s="153" t="s">
        <v>715</v>
      </c>
      <c r="V93" s="153" t="s">
        <v>715</v>
      </c>
      <c r="W93" s="153" t="s">
        <v>715</v>
      </c>
      <c r="X93" s="153" t="s">
        <v>715</v>
      </c>
      <c r="Y93" s="153" t="s">
        <v>715</v>
      </c>
      <c r="Z93" s="153" t="s">
        <v>715</v>
      </c>
      <c r="AA93" s="573">
        <v>92</v>
      </c>
    </row>
    <row r="94" spans="1:27" ht="15">
      <c r="A94" s="140" t="s">
        <v>1071</v>
      </c>
      <c r="B94" s="134" t="s">
        <v>200</v>
      </c>
      <c r="C94" s="136" t="s">
        <v>1073</v>
      </c>
      <c r="D94" s="136" t="s">
        <v>1073</v>
      </c>
      <c r="E94" s="134" t="s">
        <v>1093</v>
      </c>
      <c r="F94" s="136" t="s">
        <v>1073</v>
      </c>
      <c r="G94" s="136" t="s">
        <v>1073</v>
      </c>
      <c r="H94" s="134" t="s">
        <v>1094</v>
      </c>
      <c r="I94" s="153" t="s">
        <v>1073</v>
      </c>
      <c r="J94" s="153" t="s">
        <v>1073</v>
      </c>
      <c r="K94" s="217" t="s">
        <v>1096</v>
      </c>
      <c r="L94" s="153" t="s">
        <v>1073</v>
      </c>
      <c r="M94" s="217" t="s">
        <v>1240</v>
      </c>
      <c r="N94" s="134" t="s">
        <v>17</v>
      </c>
      <c r="O94" s="134" t="s">
        <v>46</v>
      </c>
      <c r="P94" s="217" t="s">
        <v>36</v>
      </c>
      <c r="Q94" s="217" t="s">
        <v>38</v>
      </c>
      <c r="R94" s="217" t="s">
        <v>39</v>
      </c>
      <c r="S94" s="217" t="s">
        <v>45</v>
      </c>
      <c r="T94" s="153" t="s">
        <v>1073</v>
      </c>
      <c r="U94" s="153" t="s">
        <v>1073</v>
      </c>
      <c r="V94" s="217" t="s">
        <v>1091</v>
      </c>
      <c r="W94" s="217" t="s">
        <v>1091</v>
      </c>
      <c r="X94" s="217" t="s">
        <v>57</v>
      </c>
      <c r="Y94" s="153" t="s">
        <v>1073</v>
      </c>
      <c r="Z94" s="153" t="s">
        <v>1073</v>
      </c>
      <c r="AA94" s="573">
        <v>93</v>
      </c>
    </row>
    <row r="95" spans="1:27" ht="15">
      <c r="A95" s="133"/>
      <c r="B95" s="136" t="s">
        <v>806</v>
      </c>
      <c r="C95" s="136" t="s">
        <v>1073</v>
      </c>
      <c r="D95" s="136" t="s">
        <v>1073</v>
      </c>
      <c r="E95" s="136" t="s">
        <v>563</v>
      </c>
      <c r="F95" s="136" t="s">
        <v>1073</v>
      </c>
      <c r="G95" s="136" t="s">
        <v>1073</v>
      </c>
      <c r="H95" s="136" t="s">
        <v>903</v>
      </c>
      <c r="I95" s="153" t="s">
        <v>1073</v>
      </c>
      <c r="J95" s="153" t="s">
        <v>1073</v>
      </c>
      <c r="K95" s="153" t="s">
        <v>692</v>
      </c>
      <c r="L95" s="153" t="s">
        <v>1073</v>
      </c>
      <c r="M95" s="153" t="s">
        <v>639</v>
      </c>
      <c r="N95" s="136" t="s">
        <v>662</v>
      </c>
      <c r="O95" s="136" t="s">
        <v>1493</v>
      </c>
      <c r="P95" s="153" t="s">
        <v>1243</v>
      </c>
      <c r="Q95" s="153" t="s">
        <v>1266</v>
      </c>
      <c r="R95" s="153" t="s">
        <v>1290</v>
      </c>
      <c r="S95" s="153" t="s">
        <v>1491</v>
      </c>
      <c r="T95" s="153" t="s">
        <v>1073</v>
      </c>
      <c r="U95" s="153" t="s">
        <v>1073</v>
      </c>
      <c r="V95" s="153" t="s">
        <v>1241</v>
      </c>
      <c r="W95" s="153" t="s">
        <v>1241</v>
      </c>
      <c r="X95" s="153" t="s">
        <v>1575</v>
      </c>
      <c r="Y95" s="153" t="s">
        <v>1073</v>
      </c>
      <c r="Z95" s="153" t="s">
        <v>1073</v>
      </c>
      <c r="AA95" s="573">
        <v>94</v>
      </c>
    </row>
    <row r="96" spans="1:27" ht="15">
      <c r="A96" s="140" t="s">
        <v>1072</v>
      </c>
      <c r="B96" s="134" t="s">
        <v>200</v>
      </c>
      <c r="C96" s="136" t="s">
        <v>1215</v>
      </c>
      <c r="D96" s="136" t="s">
        <v>1215</v>
      </c>
      <c r="E96" s="134" t="s">
        <v>1093</v>
      </c>
      <c r="F96" s="136" t="s">
        <v>1215</v>
      </c>
      <c r="G96" s="136" t="s">
        <v>1215</v>
      </c>
      <c r="H96" s="136" t="s">
        <v>1215</v>
      </c>
      <c r="I96" s="153" t="s">
        <v>1215</v>
      </c>
      <c r="J96" s="153" t="s">
        <v>1215</v>
      </c>
      <c r="K96" s="153" t="s">
        <v>1215</v>
      </c>
      <c r="L96" s="153" t="s">
        <v>1215</v>
      </c>
      <c r="M96" s="217" t="s">
        <v>1240</v>
      </c>
      <c r="N96" s="136" t="s">
        <v>1215</v>
      </c>
      <c r="O96" s="134" t="s">
        <v>46</v>
      </c>
      <c r="P96" s="217" t="s">
        <v>36</v>
      </c>
      <c r="Q96" s="217" t="s">
        <v>38</v>
      </c>
      <c r="R96" s="217" t="s">
        <v>39</v>
      </c>
      <c r="S96" s="217" t="s">
        <v>45</v>
      </c>
      <c r="T96" s="153" t="s">
        <v>1215</v>
      </c>
      <c r="U96" s="153" t="s">
        <v>1215</v>
      </c>
      <c r="V96" s="153" t="s">
        <v>1215</v>
      </c>
      <c r="W96" s="217" t="s">
        <v>1091</v>
      </c>
      <c r="X96" s="217" t="s">
        <v>57</v>
      </c>
      <c r="Y96" s="153" t="s">
        <v>1073</v>
      </c>
      <c r="Z96" s="153" t="s">
        <v>1215</v>
      </c>
      <c r="AA96" s="573">
        <v>95</v>
      </c>
    </row>
    <row r="97" spans="1:27" ht="15">
      <c r="A97" s="133"/>
      <c r="B97" s="136" t="s">
        <v>806</v>
      </c>
      <c r="C97" s="136" t="s">
        <v>715</v>
      </c>
      <c r="D97" s="136" t="s">
        <v>715</v>
      </c>
      <c r="E97" s="136" t="s">
        <v>563</v>
      </c>
      <c r="F97" s="136" t="s">
        <v>715</v>
      </c>
      <c r="G97" s="136" t="s">
        <v>715</v>
      </c>
      <c r="H97" s="136" t="s">
        <v>715</v>
      </c>
      <c r="I97" s="153" t="s">
        <v>715</v>
      </c>
      <c r="J97" s="153" t="s">
        <v>715</v>
      </c>
      <c r="K97" s="153" t="s">
        <v>715</v>
      </c>
      <c r="L97" s="153" t="s">
        <v>715</v>
      </c>
      <c r="M97" s="153" t="s">
        <v>639</v>
      </c>
      <c r="N97" s="136" t="s">
        <v>715</v>
      </c>
      <c r="O97" s="136" t="s">
        <v>1493</v>
      </c>
      <c r="P97" s="153" t="s">
        <v>1243</v>
      </c>
      <c r="Q97" s="153" t="s">
        <v>1266</v>
      </c>
      <c r="R97" s="153" t="s">
        <v>1290</v>
      </c>
      <c r="S97" s="153" t="s">
        <v>1491</v>
      </c>
      <c r="T97" s="153" t="s">
        <v>715</v>
      </c>
      <c r="U97" s="153" t="s">
        <v>715</v>
      </c>
      <c r="V97" s="153" t="s">
        <v>715</v>
      </c>
      <c r="W97" s="153" t="s">
        <v>1241</v>
      </c>
      <c r="X97" s="153" t="s">
        <v>1575</v>
      </c>
      <c r="Y97" s="153" t="s">
        <v>1073</v>
      </c>
      <c r="Z97" s="153" t="s">
        <v>715</v>
      </c>
      <c r="AA97" s="573">
        <v>96</v>
      </c>
    </row>
    <row r="98" spans="1:27" ht="15">
      <c r="A98" s="140" t="s">
        <v>1086</v>
      </c>
      <c r="B98" s="134" t="s">
        <v>200</v>
      </c>
      <c r="C98" s="136" t="s">
        <v>1073</v>
      </c>
      <c r="D98" s="136" t="s">
        <v>1215</v>
      </c>
      <c r="E98" s="134" t="s">
        <v>1093</v>
      </c>
      <c r="F98" s="136" t="s">
        <v>1073</v>
      </c>
      <c r="G98" s="136" t="s">
        <v>1073</v>
      </c>
      <c r="H98" s="134" t="s">
        <v>1094</v>
      </c>
      <c r="I98" s="153" t="s">
        <v>1215</v>
      </c>
      <c r="J98" s="153" t="s">
        <v>1215</v>
      </c>
      <c r="K98" s="153" t="s">
        <v>1215</v>
      </c>
      <c r="L98" s="153" t="s">
        <v>1215</v>
      </c>
      <c r="M98" s="217" t="s">
        <v>1240</v>
      </c>
      <c r="N98" s="134" t="s">
        <v>17</v>
      </c>
      <c r="O98" s="134" t="s">
        <v>46</v>
      </c>
      <c r="P98" s="217" t="s">
        <v>36</v>
      </c>
      <c r="Q98" s="217" t="s">
        <v>38</v>
      </c>
      <c r="R98" s="217" t="s">
        <v>39</v>
      </c>
      <c r="S98" s="217" t="s">
        <v>45</v>
      </c>
      <c r="T98" s="153" t="s">
        <v>1215</v>
      </c>
      <c r="U98" s="153" t="s">
        <v>1215</v>
      </c>
      <c r="V98" s="153" t="s">
        <v>1215</v>
      </c>
      <c r="W98" s="153" t="s">
        <v>1215</v>
      </c>
      <c r="X98" s="217" t="s">
        <v>57</v>
      </c>
      <c r="Y98" s="153" t="s">
        <v>1215</v>
      </c>
      <c r="Z98" s="153" t="s">
        <v>1215</v>
      </c>
      <c r="AA98" s="573">
        <v>97</v>
      </c>
    </row>
    <row r="99" spans="1:27" ht="15">
      <c r="A99" s="133"/>
      <c r="B99" s="136" t="s">
        <v>806</v>
      </c>
      <c r="C99" s="136" t="s">
        <v>1073</v>
      </c>
      <c r="D99" s="136" t="s">
        <v>715</v>
      </c>
      <c r="E99" s="136" t="s">
        <v>563</v>
      </c>
      <c r="F99" s="136" t="s">
        <v>1073</v>
      </c>
      <c r="G99" s="136" t="s">
        <v>1073</v>
      </c>
      <c r="H99" s="136" t="s">
        <v>903</v>
      </c>
      <c r="I99" s="153" t="s">
        <v>715</v>
      </c>
      <c r="J99" s="153" t="s">
        <v>715</v>
      </c>
      <c r="K99" s="153" t="s">
        <v>715</v>
      </c>
      <c r="L99" s="153" t="s">
        <v>715</v>
      </c>
      <c r="M99" s="153" t="s">
        <v>639</v>
      </c>
      <c r="N99" s="136" t="s">
        <v>662</v>
      </c>
      <c r="O99" s="136" t="s">
        <v>1493</v>
      </c>
      <c r="P99" s="153" t="s">
        <v>1243</v>
      </c>
      <c r="Q99" s="153" t="s">
        <v>1266</v>
      </c>
      <c r="R99" s="153" t="s">
        <v>1290</v>
      </c>
      <c r="S99" s="153" t="s">
        <v>1491</v>
      </c>
      <c r="T99" s="153" t="s">
        <v>715</v>
      </c>
      <c r="U99" s="153" t="s">
        <v>715</v>
      </c>
      <c r="V99" s="153" t="s">
        <v>715</v>
      </c>
      <c r="W99" s="153" t="s">
        <v>715</v>
      </c>
      <c r="X99" s="153" t="s">
        <v>1575</v>
      </c>
      <c r="Y99" s="153" t="s">
        <v>715</v>
      </c>
      <c r="Z99" s="153" t="s">
        <v>715</v>
      </c>
      <c r="AA99" s="573">
        <v>98</v>
      </c>
    </row>
    <row r="100" spans="1:27" ht="15">
      <c r="A100" s="140" t="s">
        <v>168</v>
      </c>
      <c r="B100" s="136" t="s">
        <v>1215</v>
      </c>
      <c r="C100" s="136" t="s">
        <v>1215</v>
      </c>
      <c r="D100" s="136" t="s">
        <v>1215</v>
      </c>
      <c r="E100" s="136" t="s">
        <v>1215</v>
      </c>
      <c r="F100" s="136" t="s">
        <v>1215</v>
      </c>
      <c r="G100" s="136" t="s">
        <v>1073</v>
      </c>
      <c r="H100" s="136" t="s">
        <v>1215</v>
      </c>
      <c r="I100" s="153" t="s">
        <v>1073</v>
      </c>
      <c r="J100" s="153" t="s">
        <v>1073</v>
      </c>
      <c r="K100" s="153" t="s">
        <v>1215</v>
      </c>
      <c r="L100" s="153" t="s">
        <v>1073</v>
      </c>
      <c r="M100" s="217" t="s">
        <v>1240</v>
      </c>
      <c r="N100" s="136" t="s">
        <v>1215</v>
      </c>
      <c r="O100" s="136" t="s">
        <v>1215</v>
      </c>
      <c r="P100" s="217" t="s">
        <v>36</v>
      </c>
      <c r="Q100" s="217" t="s">
        <v>38</v>
      </c>
      <c r="R100" s="217" t="s">
        <v>39</v>
      </c>
      <c r="S100" s="217" t="s">
        <v>45</v>
      </c>
      <c r="T100" s="153" t="s">
        <v>1215</v>
      </c>
      <c r="U100" s="153" t="s">
        <v>1073</v>
      </c>
      <c r="V100" s="153" t="s">
        <v>1215</v>
      </c>
      <c r="W100" s="217" t="s">
        <v>1091</v>
      </c>
      <c r="X100" s="217" t="s">
        <v>57</v>
      </c>
      <c r="Y100" s="153" t="s">
        <v>1073</v>
      </c>
      <c r="Z100" s="153" t="s">
        <v>1073</v>
      </c>
      <c r="AA100" s="573">
        <v>99</v>
      </c>
    </row>
    <row r="101" spans="1:27" ht="15">
      <c r="A101" s="140"/>
      <c r="B101" s="136" t="s">
        <v>715</v>
      </c>
      <c r="C101" s="136" t="s">
        <v>715</v>
      </c>
      <c r="D101" s="136" t="s">
        <v>715</v>
      </c>
      <c r="E101" s="136" t="s">
        <v>715</v>
      </c>
      <c r="F101" s="136" t="s">
        <v>715</v>
      </c>
      <c r="G101" s="136" t="s">
        <v>1073</v>
      </c>
      <c r="H101" s="136" t="s">
        <v>715</v>
      </c>
      <c r="I101" s="153" t="s">
        <v>1073</v>
      </c>
      <c r="J101" s="153" t="s">
        <v>1073</v>
      </c>
      <c r="K101" s="153" t="s">
        <v>715</v>
      </c>
      <c r="L101" s="153" t="s">
        <v>1073</v>
      </c>
      <c r="M101" s="153" t="s">
        <v>639</v>
      </c>
      <c r="N101" s="136" t="s">
        <v>715</v>
      </c>
      <c r="O101" s="136" t="s">
        <v>715</v>
      </c>
      <c r="P101" s="153" t="s">
        <v>1243</v>
      </c>
      <c r="Q101" s="153" t="s">
        <v>1266</v>
      </c>
      <c r="R101" s="153" t="s">
        <v>1290</v>
      </c>
      <c r="S101" s="153" t="s">
        <v>1491</v>
      </c>
      <c r="T101" s="153" t="s">
        <v>715</v>
      </c>
      <c r="U101" s="153" t="s">
        <v>1073</v>
      </c>
      <c r="V101" s="153" t="s">
        <v>715</v>
      </c>
      <c r="W101" s="153" t="s">
        <v>1241</v>
      </c>
      <c r="X101" s="153" t="s">
        <v>1575</v>
      </c>
      <c r="Y101" s="153" t="s">
        <v>1073</v>
      </c>
      <c r="Z101" s="153" t="s">
        <v>1073</v>
      </c>
      <c r="AA101" s="573">
        <v>100</v>
      </c>
    </row>
    <row r="102" spans="1:27" ht="15">
      <c r="A102" s="140" t="s">
        <v>20</v>
      </c>
      <c r="B102" s="136" t="s">
        <v>1215</v>
      </c>
      <c r="C102" s="136" t="s">
        <v>1215</v>
      </c>
      <c r="D102" s="136" t="s">
        <v>1215</v>
      </c>
      <c r="E102" s="134" t="s">
        <v>1093</v>
      </c>
      <c r="F102" s="136" t="s">
        <v>1215</v>
      </c>
      <c r="G102" s="136" t="s">
        <v>1215</v>
      </c>
      <c r="H102" s="136" t="s">
        <v>1215</v>
      </c>
      <c r="I102" s="153" t="s">
        <v>1073</v>
      </c>
      <c r="J102" s="153" t="s">
        <v>1073</v>
      </c>
      <c r="K102" s="153" t="s">
        <v>1215</v>
      </c>
      <c r="L102" s="153" t="s">
        <v>1073</v>
      </c>
      <c r="M102" s="217" t="s">
        <v>1240</v>
      </c>
      <c r="N102" s="136" t="s">
        <v>1215</v>
      </c>
      <c r="O102" s="134" t="s">
        <v>46</v>
      </c>
      <c r="P102" s="217" t="s">
        <v>36</v>
      </c>
      <c r="Q102" s="217" t="s">
        <v>38</v>
      </c>
      <c r="R102" s="217" t="s">
        <v>39</v>
      </c>
      <c r="S102" s="217" t="s">
        <v>45</v>
      </c>
      <c r="T102" s="153" t="s">
        <v>1215</v>
      </c>
      <c r="U102" s="153" t="s">
        <v>1215</v>
      </c>
      <c r="V102" s="153" t="s">
        <v>1215</v>
      </c>
      <c r="W102" s="153" t="s">
        <v>1215</v>
      </c>
      <c r="X102" s="217" t="s">
        <v>57</v>
      </c>
      <c r="Y102" s="153" t="s">
        <v>1073</v>
      </c>
      <c r="Z102" s="153" t="s">
        <v>1215</v>
      </c>
      <c r="AA102" s="573">
        <v>101</v>
      </c>
    </row>
    <row r="103" spans="1:27" ht="15">
      <c r="A103" s="133"/>
      <c r="B103" s="136" t="s">
        <v>715</v>
      </c>
      <c r="C103" s="136" t="s">
        <v>715</v>
      </c>
      <c r="D103" s="136" t="s">
        <v>715</v>
      </c>
      <c r="E103" s="136" t="s">
        <v>563</v>
      </c>
      <c r="F103" s="136" t="s">
        <v>715</v>
      </c>
      <c r="G103" s="136" t="s">
        <v>715</v>
      </c>
      <c r="H103" s="136" t="s">
        <v>715</v>
      </c>
      <c r="I103" s="153" t="s">
        <v>1073</v>
      </c>
      <c r="J103" s="153" t="s">
        <v>1073</v>
      </c>
      <c r="K103" s="153" t="s">
        <v>715</v>
      </c>
      <c r="L103" s="153" t="s">
        <v>1073</v>
      </c>
      <c r="M103" s="153" t="s">
        <v>639</v>
      </c>
      <c r="N103" s="136" t="s">
        <v>715</v>
      </c>
      <c r="O103" s="136" t="s">
        <v>1493</v>
      </c>
      <c r="P103" s="153" t="s">
        <v>1243</v>
      </c>
      <c r="Q103" s="153" t="s">
        <v>1266</v>
      </c>
      <c r="R103" s="153" t="s">
        <v>1290</v>
      </c>
      <c r="S103" s="153" t="s">
        <v>1491</v>
      </c>
      <c r="T103" s="153" t="s">
        <v>715</v>
      </c>
      <c r="U103" s="153" t="s">
        <v>715</v>
      </c>
      <c r="V103" s="153" t="s">
        <v>715</v>
      </c>
      <c r="W103" s="153" t="s">
        <v>715</v>
      </c>
      <c r="X103" s="153" t="s">
        <v>1575</v>
      </c>
      <c r="Y103" s="153" t="s">
        <v>1073</v>
      </c>
      <c r="Z103" s="153" t="s">
        <v>715</v>
      </c>
      <c r="AA103" s="573">
        <v>102</v>
      </c>
    </row>
    <row r="104" spans="1:27" ht="15">
      <c r="A104" s="140" t="s">
        <v>54</v>
      </c>
      <c r="B104" s="136" t="s">
        <v>1215</v>
      </c>
      <c r="C104" s="136" t="s">
        <v>1215</v>
      </c>
      <c r="D104" s="136" t="s">
        <v>1215</v>
      </c>
      <c r="E104" s="136" t="s">
        <v>1215</v>
      </c>
      <c r="F104" s="136" t="s">
        <v>1215</v>
      </c>
      <c r="G104" s="138" t="str">
        <f>IF(OR(Configurator!$D$12=8,Configurator!$D$14=7,Configurator!$D$14=9),"*"," ")</f>
        <v> </v>
      </c>
      <c r="H104" s="136" t="s">
        <v>1215</v>
      </c>
      <c r="I104" s="153" t="s">
        <v>1215</v>
      </c>
      <c r="J104" s="153" t="s">
        <v>1215</v>
      </c>
      <c r="K104" s="153" t="s">
        <v>1215</v>
      </c>
      <c r="L104" s="153" t="s">
        <v>1215</v>
      </c>
      <c r="M104" s="153" t="s">
        <v>1215</v>
      </c>
      <c r="N104" s="136" t="s">
        <v>1215</v>
      </c>
      <c r="O104" s="136" t="s">
        <v>1215</v>
      </c>
      <c r="P104" s="153" t="s">
        <v>1215</v>
      </c>
      <c r="Q104" s="153" t="s">
        <v>1215</v>
      </c>
      <c r="R104" s="153" t="s">
        <v>1215</v>
      </c>
      <c r="S104" s="153" t="s">
        <v>1215</v>
      </c>
      <c r="T104" s="153" t="s">
        <v>1215</v>
      </c>
      <c r="U104" s="153" t="s">
        <v>1215</v>
      </c>
      <c r="V104" s="153" t="s">
        <v>1215</v>
      </c>
      <c r="W104" s="153" t="s">
        <v>1215</v>
      </c>
      <c r="X104" s="153" t="s">
        <v>1215</v>
      </c>
      <c r="Y104" s="153" t="s">
        <v>1215</v>
      </c>
      <c r="Z104" s="153" t="s">
        <v>1215</v>
      </c>
      <c r="AA104" s="573">
        <v>103</v>
      </c>
    </row>
    <row r="105" spans="1:27" ht="15">
      <c r="A105" s="133"/>
      <c r="B105" s="136" t="s">
        <v>715</v>
      </c>
      <c r="C105" s="136" t="s">
        <v>715</v>
      </c>
      <c r="D105" s="136" t="s">
        <v>715</v>
      </c>
      <c r="E105" s="136" t="s">
        <v>715</v>
      </c>
      <c r="F105" s="136" t="s">
        <v>715</v>
      </c>
      <c r="G105" s="138" t="str">
        <f>IF(OR(Configurator!$D$12=8,Configurator!$D$14=7,Configurator!$D$14=9),"-7**"," ")</f>
        <v> </v>
      </c>
      <c r="H105" s="136" t="s">
        <v>715</v>
      </c>
      <c r="I105" s="153" t="s">
        <v>715</v>
      </c>
      <c r="J105" s="153" t="s">
        <v>715</v>
      </c>
      <c r="K105" s="153" t="s">
        <v>715</v>
      </c>
      <c r="L105" s="153" t="s">
        <v>715</v>
      </c>
      <c r="M105" s="153" t="s">
        <v>715</v>
      </c>
      <c r="N105" s="136" t="s">
        <v>715</v>
      </c>
      <c r="O105" s="136" t="s">
        <v>715</v>
      </c>
      <c r="P105" s="153" t="s">
        <v>715</v>
      </c>
      <c r="Q105" s="153" t="s">
        <v>715</v>
      </c>
      <c r="R105" s="153" t="s">
        <v>715</v>
      </c>
      <c r="S105" s="153" t="s">
        <v>715</v>
      </c>
      <c r="T105" s="153" t="s">
        <v>715</v>
      </c>
      <c r="U105" s="153" t="s">
        <v>715</v>
      </c>
      <c r="V105" s="153" t="s">
        <v>715</v>
      </c>
      <c r="W105" s="153" t="s">
        <v>715</v>
      </c>
      <c r="X105" s="153" t="s">
        <v>715</v>
      </c>
      <c r="Y105" s="153" t="s">
        <v>715</v>
      </c>
      <c r="Z105" s="153" t="s">
        <v>715</v>
      </c>
      <c r="AA105" s="573">
        <v>104</v>
      </c>
    </row>
    <row r="106" spans="1:27" ht="15">
      <c r="A106" s="135" t="s">
        <v>1078</v>
      </c>
      <c r="B106" s="136" t="s">
        <v>1073</v>
      </c>
      <c r="C106" s="136" t="s">
        <v>1073</v>
      </c>
      <c r="D106" s="136" t="s">
        <v>1073</v>
      </c>
      <c r="E106" s="136" t="s">
        <v>1073</v>
      </c>
      <c r="F106" s="136" t="s">
        <v>1073</v>
      </c>
      <c r="G106" s="136" t="s">
        <v>1073</v>
      </c>
      <c r="H106" s="136" t="s">
        <v>1073</v>
      </c>
      <c r="I106" s="153" t="s">
        <v>1073</v>
      </c>
      <c r="J106" s="153" t="s">
        <v>1073</v>
      </c>
      <c r="K106" s="153" t="s">
        <v>1073</v>
      </c>
      <c r="L106" s="153" t="s">
        <v>1073</v>
      </c>
      <c r="M106" s="153" t="s">
        <v>1073</v>
      </c>
      <c r="N106" s="136" t="s">
        <v>1073</v>
      </c>
      <c r="O106" s="136" t="s">
        <v>1073</v>
      </c>
      <c r="P106" s="153" t="s">
        <v>1073</v>
      </c>
      <c r="Q106" s="153" t="s">
        <v>1073</v>
      </c>
      <c r="R106" s="153" t="s">
        <v>1073</v>
      </c>
      <c r="S106" s="153" t="s">
        <v>1073</v>
      </c>
      <c r="T106" s="153" t="s">
        <v>1073</v>
      </c>
      <c r="U106" s="153" t="s">
        <v>1073</v>
      </c>
      <c r="V106" s="153" t="s">
        <v>1073</v>
      </c>
      <c r="W106" s="153" t="s">
        <v>1073</v>
      </c>
      <c r="X106" s="153" t="s">
        <v>1073</v>
      </c>
      <c r="Y106" s="153" t="s">
        <v>1073</v>
      </c>
      <c r="Z106" s="153" t="s">
        <v>1073</v>
      </c>
      <c r="AA106" s="573">
        <v>105</v>
      </c>
    </row>
    <row r="107" spans="1:27" ht="15">
      <c r="A107" s="133" t="s">
        <v>1073</v>
      </c>
      <c r="B107" s="403" t="s">
        <v>1465</v>
      </c>
      <c r="C107" s="403" t="s">
        <v>1465</v>
      </c>
      <c r="D107" s="403" t="s">
        <v>1465</v>
      </c>
      <c r="E107" s="403" t="s">
        <v>1465</v>
      </c>
      <c r="F107" s="403" t="s">
        <v>1465</v>
      </c>
      <c r="G107" s="403" t="s">
        <v>1465</v>
      </c>
      <c r="H107" s="403" t="s">
        <v>1465</v>
      </c>
      <c r="I107" s="403" t="s">
        <v>1465</v>
      </c>
      <c r="J107" s="403" t="s">
        <v>1465</v>
      </c>
      <c r="K107" s="403" t="s">
        <v>1465</v>
      </c>
      <c r="L107" s="403" t="s">
        <v>1465</v>
      </c>
      <c r="M107" s="403" t="s">
        <v>1465</v>
      </c>
      <c r="N107" s="403" t="s">
        <v>1465</v>
      </c>
      <c r="O107" s="403" t="s">
        <v>1465</v>
      </c>
      <c r="P107" s="403" t="s">
        <v>1465</v>
      </c>
      <c r="Q107" s="403" t="s">
        <v>1465</v>
      </c>
      <c r="R107" s="403" t="s">
        <v>1465</v>
      </c>
      <c r="S107" s="403" t="s">
        <v>1465</v>
      </c>
      <c r="T107" s="403" t="s">
        <v>1465</v>
      </c>
      <c r="U107" s="403" t="s">
        <v>1465</v>
      </c>
      <c r="V107" s="403" t="s">
        <v>1465</v>
      </c>
      <c r="W107" s="403" t="s">
        <v>1465</v>
      </c>
      <c r="X107" s="403" t="s">
        <v>1465</v>
      </c>
      <c r="Y107" s="403" t="s">
        <v>1465</v>
      </c>
      <c r="Z107" s="403" t="s">
        <v>1465</v>
      </c>
      <c r="AA107" s="573">
        <v>106</v>
      </c>
    </row>
    <row r="108" spans="1:27" ht="15">
      <c r="A108" s="133" t="s">
        <v>1073</v>
      </c>
      <c r="B108" s="217" t="s">
        <v>1466</v>
      </c>
      <c r="C108" s="217" t="s">
        <v>1466</v>
      </c>
      <c r="D108" s="217" t="s">
        <v>1466</v>
      </c>
      <c r="E108" s="217" t="s">
        <v>1466</v>
      </c>
      <c r="F108" s="217" t="s">
        <v>1466</v>
      </c>
      <c r="G108" s="217" t="s">
        <v>1466</v>
      </c>
      <c r="H108" s="217" t="s">
        <v>1466</v>
      </c>
      <c r="I108" s="217" t="s">
        <v>1466</v>
      </c>
      <c r="J108" s="217" t="s">
        <v>1466</v>
      </c>
      <c r="K108" s="217" t="s">
        <v>1466</v>
      </c>
      <c r="L108" s="217" t="s">
        <v>1466</v>
      </c>
      <c r="M108" s="217" t="s">
        <v>1466</v>
      </c>
      <c r="N108" s="217" t="s">
        <v>1466</v>
      </c>
      <c r="O108" s="217" t="s">
        <v>1466</v>
      </c>
      <c r="P108" s="217" t="s">
        <v>1466</v>
      </c>
      <c r="Q108" s="217" t="s">
        <v>1466</v>
      </c>
      <c r="R108" s="217" t="s">
        <v>1466</v>
      </c>
      <c r="S108" s="217" t="s">
        <v>1466</v>
      </c>
      <c r="T108" s="217" t="s">
        <v>1466</v>
      </c>
      <c r="U108" s="217" t="s">
        <v>1466</v>
      </c>
      <c r="V108" s="217" t="s">
        <v>1466</v>
      </c>
      <c r="W108" s="217" t="s">
        <v>1466</v>
      </c>
      <c r="X108" s="217" t="s">
        <v>1466</v>
      </c>
      <c r="Y108" s="217" t="s">
        <v>1466</v>
      </c>
      <c r="Z108" s="217" t="s">
        <v>1466</v>
      </c>
      <c r="AA108" s="573">
        <v>107</v>
      </c>
    </row>
    <row r="109" spans="1:27" ht="15">
      <c r="A109" s="133" t="s">
        <v>1073</v>
      </c>
      <c r="B109" s="217" t="s">
        <v>1467</v>
      </c>
      <c r="C109" s="217" t="s">
        <v>1467</v>
      </c>
      <c r="D109" s="217" t="s">
        <v>1467</v>
      </c>
      <c r="E109" s="217" t="s">
        <v>1467</v>
      </c>
      <c r="F109" s="217" t="s">
        <v>1467</v>
      </c>
      <c r="G109" s="217" t="s">
        <v>1467</v>
      </c>
      <c r="H109" s="217" t="s">
        <v>1467</v>
      </c>
      <c r="I109" s="217" t="s">
        <v>1467</v>
      </c>
      <c r="J109" s="217" t="s">
        <v>1467</v>
      </c>
      <c r="K109" s="217" t="s">
        <v>1467</v>
      </c>
      <c r="L109" s="217" t="s">
        <v>1467</v>
      </c>
      <c r="M109" s="217" t="s">
        <v>1467</v>
      </c>
      <c r="N109" s="217" t="s">
        <v>1467</v>
      </c>
      <c r="O109" s="217" t="s">
        <v>1467</v>
      </c>
      <c r="P109" s="217" t="s">
        <v>1467</v>
      </c>
      <c r="Q109" s="217" t="s">
        <v>1467</v>
      </c>
      <c r="R109" s="217" t="s">
        <v>1467</v>
      </c>
      <c r="S109" s="217" t="s">
        <v>1467</v>
      </c>
      <c r="T109" s="217" t="s">
        <v>1467</v>
      </c>
      <c r="U109" s="217" t="s">
        <v>1467</v>
      </c>
      <c r="V109" s="217" t="s">
        <v>1467</v>
      </c>
      <c r="W109" s="217" t="s">
        <v>1467</v>
      </c>
      <c r="X109" s="217" t="s">
        <v>1467</v>
      </c>
      <c r="Y109" s="217" t="s">
        <v>1467</v>
      </c>
      <c r="Z109" s="217" t="s">
        <v>1467</v>
      </c>
      <c r="AA109" s="573">
        <v>108</v>
      </c>
    </row>
    <row r="110" spans="1:27" ht="15">
      <c r="A110" s="133" t="s">
        <v>1073</v>
      </c>
      <c r="B110" s="217" t="s">
        <v>1468</v>
      </c>
      <c r="C110" s="217" t="s">
        <v>1468</v>
      </c>
      <c r="D110" s="217" t="s">
        <v>1468</v>
      </c>
      <c r="E110" s="217" t="s">
        <v>1468</v>
      </c>
      <c r="F110" s="217" t="s">
        <v>1468</v>
      </c>
      <c r="G110" s="217" t="s">
        <v>1468</v>
      </c>
      <c r="H110" s="217" t="s">
        <v>1468</v>
      </c>
      <c r="I110" s="217" t="s">
        <v>1468</v>
      </c>
      <c r="J110" s="217" t="s">
        <v>1468</v>
      </c>
      <c r="K110" s="217" t="s">
        <v>1468</v>
      </c>
      <c r="L110" s="217" t="s">
        <v>1468</v>
      </c>
      <c r="M110" s="217" t="s">
        <v>1468</v>
      </c>
      <c r="N110" s="217" t="s">
        <v>1468</v>
      </c>
      <c r="O110" s="217" t="s">
        <v>1468</v>
      </c>
      <c r="P110" s="217" t="s">
        <v>1468</v>
      </c>
      <c r="Q110" s="217" t="s">
        <v>1468</v>
      </c>
      <c r="R110" s="217" t="s">
        <v>1468</v>
      </c>
      <c r="S110" s="217" t="s">
        <v>1468</v>
      </c>
      <c r="T110" s="217" t="s">
        <v>1468</v>
      </c>
      <c r="U110" s="217" t="s">
        <v>1468</v>
      </c>
      <c r="V110" s="217" t="s">
        <v>1468</v>
      </c>
      <c r="W110" s="217" t="s">
        <v>1468</v>
      </c>
      <c r="X110" s="217" t="s">
        <v>1468</v>
      </c>
      <c r="Y110" s="217" t="s">
        <v>1468</v>
      </c>
      <c r="Z110" s="217" t="s">
        <v>1468</v>
      </c>
      <c r="AA110" s="573">
        <v>109</v>
      </c>
    </row>
    <row r="111" spans="1:27" ht="15">
      <c r="A111" s="133" t="s">
        <v>1073</v>
      </c>
      <c r="B111" s="217" t="s">
        <v>1469</v>
      </c>
      <c r="C111" s="217" t="s">
        <v>1469</v>
      </c>
      <c r="D111" s="217" t="s">
        <v>1469</v>
      </c>
      <c r="E111" s="217" t="s">
        <v>1469</v>
      </c>
      <c r="F111" s="217" t="s">
        <v>1469</v>
      </c>
      <c r="G111" s="217" t="s">
        <v>1469</v>
      </c>
      <c r="H111" s="217" t="s">
        <v>1469</v>
      </c>
      <c r="I111" s="217" t="s">
        <v>1469</v>
      </c>
      <c r="J111" s="217" t="s">
        <v>1469</v>
      </c>
      <c r="K111" s="217" t="s">
        <v>1469</v>
      </c>
      <c r="L111" s="217" t="s">
        <v>1469</v>
      </c>
      <c r="M111" s="217" t="s">
        <v>1469</v>
      </c>
      <c r="N111" s="217" t="s">
        <v>1469</v>
      </c>
      <c r="O111" s="217" t="s">
        <v>1469</v>
      </c>
      <c r="P111" s="217" t="s">
        <v>1469</v>
      </c>
      <c r="Q111" s="217" t="s">
        <v>1469</v>
      </c>
      <c r="R111" s="217" t="s">
        <v>1469</v>
      </c>
      <c r="S111" s="217" t="s">
        <v>1469</v>
      </c>
      <c r="T111" s="217" t="s">
        <v>1469</v>
      </c>
      <c r="U111" s="217" t="s">
        <v>1469</v>
      </c>
      <c r="V111" s="217" t="s">
        <v>1469</v>
      </c>
      <c r="W111" s="217" t="s">
        <v>1469</v>
      </c>
      <c r="X111" s="217" t="s">
        <v>1469</v>
      </c>
      <c r="Y111" s="217" t="s">
        <v>1469</v>
      </c>
      <c r="Z111" s="217" t="s">
        <v>1469</v>
      </c>
      <c r="AA111" s="573">
        <v>110</v>
      </c>
    </row>
    <row r="112" spans="1:27" ht="15">
      <c r="A112" s="133" t="s">
        <v>1073</v>
      </c>
      <c r="B112" s="217" t="s">
        <v>1470</v>
      </c>
      <c r="C112" s="217" t="s">
        <v>1470</v>
      </c>
      <c r="D112" s="217" t="s">
        <v>1470</v>
      </c>
      <c r="E112" s="217" t="s">
        <v>1470</v>
      </c>
      <c r="F112" s="217" t="s">
        <v>1470</v>
      </c>
      <c r="G112" s="217" t="s">
        <v>1470</v>
      </c>
      <c r="H112" s="217" t="s">
        <v>1470</v>
      </c>
      <c r="I112" s="217" t="s">
        <v>1470</v>
      </c>
      <c r="J112" s="217" t="s">
        <v>1470</v>
      </c>
      <c r="K112" s="217" t="s">
        <v>1470</v>
      </c>
      <c r="L112" s="217" t="s">
        <v>1470</v>
      </c>
      <c r="M112" s="217" t="s">
        <v>1470</v>
      </c>
      <c r="N112" s="217" t="s">
        <v>1470</v>
      </c>
      <c r="O112" s="217" t="s">
        <v>1470</v>
      </c>
      <c r="P112" s="217" t="s">
        <v>1470</v>
      </c>
      <c r="Q112" s="217" t="s">
        <v>1470</v>
      </c>
      <c r="R112" s="217" t="s">
        <v>1470</v>
      </c>
      <c r="S112" s="217" t="s">
        <v>1470</v>
      </c>
      <c r="T112" s="217" t="s">
        <v>1470</v>
      </c>
      <c r="U112" s="217" t="s">
        <v>1470</v>
      </c>
      <c r="V112" s="217" t="s">
        <v>1470</v>
      </c>
      <c r="W112" s="217" t="s">
        <v>1470</v>
      </c>
      <c r="X112" s="217" t="s">
        <v>1470</v>
      </c>
      <c r="Y112" s="217" t="s">
        <v>1470</v>
      </c>
      <c r="Z112" s="217" t="s">
        <v>1470</v>
      </c>
      <c r="AA112" s="573">
        <v>111</v>
      </c>
    </row>
    <row r="113" spans="1:27" s="154" customFormat="1" ht="15">
      <c r="A113" s="142" t="s">
        <v>1073</v>
      </c>
      <c r="B113" s="217" t="s">
        <v>1471</v>
      </c>
      <c r="C113" s="217" t="s">
        <v>1471</v>
      </c>
      <c r="D113" s="217" t="s">
        <v>1471</v>
      </c>
      <c r="E113" s="217" t="s">
        <v>1471</v>
      </c>
      <c r="F113" s="217" t="s">
        <v>1471</v>
      </c>
      <c r="G113" s="217" t="s">
        <v>1471</v>
      </c>
      <c r="H113" s="217" t="s">
        <v>1471</v>
      </c>
      <c r="I113" s="217" t="s">
        <v>1471</v>
      </c>
      <c r="J113" s="217" t="s">
        <v>1471</v>
      </c>
      <c r="K113" s="217" t="s">
        <v>1471</v>
      </c>
      <c r="L113" s="217" t="s">
        <v>1471</v>
      </c>
      <c r="M113" s="217" t="s">
        <v>1471</v>
      </c>
      <c r="N113" s="217" t="s">
        <v>1471</v>
      </c>
      <c r="O113" s="217" t="s">
        <v>1471</v>
      </c>
      <c r="P113" s="217" t="s">
        <v>1471</v>
      </c>
      <c r="Q113" s="217" t="s">
        <v>1471</v>
      </c>
      <c r="R113" s="217" t="s">
        <v>1471</v>
      </c>
      <c r="S113" s="217" t="s">
        <v>1471</v>
      </c>
      <c r="T113" s="217" t="s">
        <v>1471</v>
      </c>
      <c r="U113" s="217" t="s">
        <v>1471</v>
      </c>
      <c r="V113" s="217" t="s">
        <v>1471</v>
      </c>
      <c r="W113" s="217" t="s">
        <v>1471</v>
      </c>
      <c r="X113" s="217" t="s">
        <v>1471</v>
      </c>
      <c r="Y113" s="217" t="s">
        <v>1471</v>
      </c>
      <c r="Z113" s="217" t="s">
        <v>1471</v>
      </c>
      <c r="AA113" s="573">
        <v>112</v>
      </c>
    </row>
    <row r="114" spans="1:27" ht="15">
      <c r="A114" s="142" t="s">
        <v>1073</v>
      </c>
      <c r="B114" s="404" t="s">
        <v>1472</v>
      </c>
      <c r="C114" s="404" t="s">
        <v>1472</v>
      </c>
      <c r="D114" s="404" t="s">
        <v>1472</v>
      </c>
      <c r="E114" s="404" t="s">
        <v>1472</v>
      </c>
      <c r="F114" s="404" t="s">
        <v>1472</v>
      </c>
      <c r="G114" s="404" t="s">
        <v>1472</v>
      </c>
      <c r="H114" s="404" t="s">
        <v>1472</v>
      </c>
      <c r="I114" s="404" t="s">
        <v>1472</v>
      </c>
      <c r="J114" s="404" t="s">
        <v>1472</v>
      </c>
      <c r="K114" s="404" t="s">
        <v>1472</v>
      </c>
      <c r="L114" s="404" t="s">
        <v>1472</v>
      </c>
      <c r="M114" s="404" t="s">
        <v>1472</v>
      </c>
      <c r="N114" s="404" t="s">
        <v>1472</v>
      </c>
      <c r="O114" s="404" t="s">
        <v>1472</v>
      </c>
      <c r="P114" s="404" t="s">
        <v>1472</v>
      </c>
      <c r="Q114" s="404" t="s">
        <v>1472</v>
      </c>
      <c r="R114" s="404" t="s">
        <v>1472</v>
      </c>
      <c r="S114" s="404" t="s">
        <v>1472</v>
      </c>
      <c r="T114" s="404" t="s">
        <v>1472</v>
      </c>
      <c r="U114" s="404" t="s">
        <v>1472</v>
      </c>
      <c r="V114" s="404" t="s">
        <v>1472</v>
      </c>
      <c r="W114" s="404" t="s">
        <v>1472</v>
      </c>
      <c r="X114" s="404" t="s">
        <v>1472</v>
      </c>
      <c r="Y114" s="404" t="s">
        <v>1472</v>
      </c>
      <c r="Z114" s="404" t="s">
        <v>1472</v>
      </c>
      <c r="AA114" s="573">
        <v>113</v>
      </c>
    </row>
    <row r="115" spans="1:27" ht="15">
      <c r="A115" s="142" t="s">
        <v>1073</v>
      </c>
      <c r="B115" s="144" t="s">
        <v>15</v>
      </c>
      <c r="C115" s="144" t="s">
        <v>15</v>
      </c>
      <c r="D115" s="144" t="s">
        <v>15</v>
      </c>
      <c r="E115" s="144" t="s">
        <v>15</v>
      </c>
      <c r="F115" s="144" t="s">
        <v>15</v>
      </c>
      <c r="G115" s="144" t="s">
        <v>15</v>
      </c>
      <c r="H115" s="144" t="s">
        <v>15</v>
      </c>
      <c r="I115" s="405" t="s">
        <v>15</v>
      </c>
      <c r="J115" s="405" t="s">
        <v>15</v>
      </c>
      <c r="K115" s="405" t="s">
        <v>15</v>
      </c>
      <c r="L115" s="405" t="s">
        <v>15</v>
      </c>
      <c r="M115" s="405" t="s">
        <v>15</v>
      </c>
      <c r="N115" s="144" t="s">
        <v>15</v>
      </c>
      <c r="O115" s="144" t="s">
        <v>15</v>
      </c>
      <c r="P115" s="405" t="s">
        <v>15</v>
      </c>
      <c r="Q115" s="405" t="s">
        <v>15</v>
      </c>
      <c r="R115" s="405" t="s">
        <v>15</v>
      </c>
      <c r="S115" s="405" t="s">
        <v>15</v>
      </c>
      <c r="T115" s="405" t="s">
        <v>15</v>
      </c>
      <c r="U115" s="405" t="s">
        <v>15</v>
      </c>
      <c r="V115" s="405" t="s">
        <v>15</v>
      </c>
      <c r="W115" s="405" t="s">
        <v>15</v>
      </c>
      <c r="X115" s="405" t="s">
        <v>15</v>
      </c>
      <c r="Y115" s="405" t="s">
        <v>15</v>
      </c>
      <c r="Z115" s="405" t="s">
        <v>15</v>
      </c>
      <c r="AA115" s="573">
        <v>114</v>
      </c>
    </row>
    <row r="116" spans="1:27" ht="15">
      <c r="A116" s="142" t="s">
        <v>1073</v>
      </c>
      <c r="B116" s="136" t="s">
        <v>1215</v>
      </c>
      <c r="C116" s="136" t="s">
        <v>1215</v>
      </c>
      <c r="D116" s="136" t="s">
        <v>1215</v>
      </c>
      <c r="E116" s="136" t="s">
        <v>1215</v>
      </c>
      <c r="F116" s="136" t="s">
        <v>1215</v>
      </c>
      <c r="G116" s="136" t="s">
        <v>1215</v>
      </c>
      <c r="H116" s="136" t="s">
        <v>1215</v>
      </c>
      <c r="I116" s="153" t="s">
        <v>1215</v>
      </c>
      <c r="J116" s="153" t="s">
        <v>1215</v>
      </c>
      <c r="K116" s="153" t="s">
        <v>1215</v>
      </c>
      <c r="L116" s="153" t="s">
        <v>1215</v>
      </c>
      <c r="M116" s="153" t="s">
        <v>1215</v>
      </c>
      <c r="N116" s="136" t="s">
        <v>1215</v>
      </c>
      <c r="O116" s="136" t="s">
        <v>1215</v>
      </c>
      <c r="P116" s="153" t="s">
        <v>1215</v>
      </c>
      <c r="Q116" s="153" t="s">
        <v>1215</v>
      </c>
      <c r="R116" s="153" t="s">
        <v>1215</v>
      </c>
      <c r="S116" s="153" t="s">
        <v>1215</v>
      </c>
      <c r="T116" s="153" t="s">
        <v>1215</v>
      </c>
      <c r="U116" s="153" t="s">
        <v>1215</v>
      </c>
      <c r="V116" s="153" t="s">
        <v>1215</v>
      </c>
      <c r="W116" s="153" t="s">
        <v>1215</v>
      </c>
      <c r="X116" s="153" t="s">
        <v>1215</v>
      </c>
      <c r="Y116" s="153" t="s">
        <v>1215</v>
      </c>
      <c r="Z116" s="153" t="s">
        <v>1215</v>
      </c>
      <c r="AA116" s="573">
        <v>115</v>
      </c>
    </row>
    <row r="117" spans="1:27" ht="15">
      <c r="A117" s="142" t="s">
        <v>1073</v>
      </c>
      <c r="B117" s="136" t="s">
        <v>1</v>
      </c>
      <c r="C117" s="136" t="s">
        <v>1</v>
      </c>
      <c r="D117" s="136" t="s">
        <v>1</v>
      </c>
      <c r="E117" s="136" t="s">
        <v>1</v>
      </c>
      <c r="F117" s="136" t="s">
        <v>1</v>
      </c>
      <c r="G117" s="136" t="s">
        <v>1</v>
      </c>
      <c r="H117" s="136" t="s">
        <v>1</v>
      </c>
      <c r="I117" s="153" t="s">
        <v>1</v>
      </c>
      <c r="J117" s="153" t="s">
        <v>1</v>
      </c>
      <c r="K117" s="153" t="s">
        <v>1</v>
      </c>
      <c r="L117" s="153" t="s">
        <v>1</v>
      </c>
      <c r="M117" s="153" t="s">
        <v>1</v>
      </c>
      <c r="N117" s="136" t="s">
        <v>1</v>
      </c>
      <c r="O117" s="136" t="s">
        <v>1</v>
      </c>
      <c r="P117" s="153" t="s">
        <v>1</v>
      </c>
      <c r="Q117" s="153" t="s">
        <v>1</v>
      </c>
      <c r="R117" s="153" t="s">
        <v>1</v>
      </c>
      <c r="S117" s="153" t="s">
        <v>1</v>
      </c>
      <c r="T117" s="153" t="s">
        <v>1</v>
      </c>
      <c r="U117" s="153" t="s">
        <v>1</v>
      </c>
      <c r="V117" s="153" t="s">
        <v>1</v>
      </c>
      <c r="W117" s="153" t="s">
        <v>1</v>
      </c>
      <c r="X117" s="153" t="s">
        <v>1</v>
      </c>
      <c r="Y117" s="153" t="s">
        <v>1</v>
      </c>
      <c r="Z117" s="153" t="s">
        <v>1</v>
      </c>
      <c r="AA117" s="573">
        <v>116</v>
      </c>
    </row>
    <row r="118" spans="1:27" ht="15">
      <c r="A118" s="129"/>
      <c r="B118" s="136" t="s">
        <v>1238</v>
      </c>
      <c r="C118" s="136" t="s">
        <v>1215</v>
      </c>
      <c r="D118" s="136" t="s">
        <v>1215</v>
      </c>
      <c r="E118" s="136" t="s">
        <v>1238</v>
      </c>
      <c r="F118" s="136" t="s">
        <v>1215</v>
      </c>
      <c r="G118" s="136" t="s">
        <v>1215</v>
      </c>
      <c r="H118" s="136" t="s">
        <v>1215</v>
      </c>
      <c r="I118" s="153" t="s">
        <v>1215</v>
      </c>
      <c r="J118" s="153" t="s">
        <v>1215</v>
      </c>
      <c r="K118" s="153" t="s">
        <v>1215</v>
      </c>
      <c r="L118" s="153" t="s">
        <v>1215</v>
      </c>
      <c r="M118" s="153" t="s">
        <v>1238</v>
      </c>
      <c r="N118" s="136" t="s">
        <v>1238</v>
      </c>
      <c r="O118" s="136" t="s">
        <v>1238</v>
      </c>
      <c r="P118" s="153" t="s">
        <v>1238</v>
      </c>
      <c r="Q118" s="153" t="s">
        <v>1238</v>
      </c>
      <c r="R118" s="153" t="s">
        <v>1238</v>
      </c>
      <c r="S118" s="153" t="s">
        <v>1238</v>
      </c>
      <c r="T118" s="153" t="s">
        <v>1215</v>
      </c>
      <c r="U118" s="153" t="s">
        <v>1215</v>
      </c>
      <c r="V118" s="153" t="s">
        <v>1215</v>
      </c>
      <c r="W118" s="153" t="s">
        <v>1238</v>
      </c>
      <c r="X118" s="153" t="s">
        <v>1238</v>
      </c>
      <c r="Y118" s="153" t="s">
        <v>1238</v>
      </c>
      <c r="Z118" s="153" t="s">
        <v>1215</v>
      </c>
      <c r="AA118" s="573">
        <v>117</v>
      </c>
    </row>
    <row r="119" spans="1:27" ht="15">
      <c r="A119" s="129"/>
      <c r="B119" s="136" t="s">
        <v>2</v>
      </c>
      <c r="C119" s="136" t="s">
        <v>2</v>
      </c>
      <c r="D119" s="136" t="s">
        <v>1215</v>
      </c>
      <c r="E119" s="136" t="s">
        <v>2</v>
      </c>
      <c r="F119" s="136" t="s">
        <v>2</v>
      </c>
      <c r="G119" s="136" t="s">
        <v>2</v>
      </c>
      <c r="H119" s="136" t="s">
        <v>2</v>
      </c>
      <c r="I119" s="153" t="s">
        <v>1215</v>
      </c>
      <c r="J119" s="153" t="s">
        <v>1215</v>
      </c>
      <c r="K119" s="153" t="s">
        <v>1215</v>
      </c>
      <c r="L119" s="153" t="s">
        <v>1215</v>
      </c>
      <c r="M119" s="153" t="s">
        <v>2</v>
      </c>
      <c r="N119" s="136" t="s">
        <v>2</v>
      </c>
      <c r="O119" s="136" t="s">
        <v>2</v>
      </c>
      <c r="P119" s="153" t="s">
        <v>2</v>
      </c>
      <c r="Q119" s="153" t="s">
        <v>2</v>
      </c>
      <c r="R119" s="153" t="s">
        <v>2</v>
      </c>
      <c r="S119" s="153" t="s">
        <v>2</v>
      </c>
      <c r="T119" s="153" t="s">
        <v>1215</v>
      </c>
      <c r="U119" s="153" t="s">
        <v>1215</v>
      </c>
      <c r="V119" s="153" t="s">
        <v>1215</v>
      </c>
      <c r="W119" s="153" t="s">
        <v>1215</v>
      </c>
      <c r="X119" s="153" t="s">
        <v>2</v>
      </c>
      <c r="Y119" s="153" t="s">
        <v>1215</v>
      </c>
      <c r="Z119" s="153" t="s">
        <v>1215</v>
      </c>
      <c r="AA119" s="573">
        <v>118</v>
      </c>
    </row>
    <row r="120" spans="1:27" ht="15">
      <c r="A120" s="129" t="s">
        <v>1073</v>
      </c>
      <c r="B120" s="136" t="s">
        <v>1215</v>
      </c>
      <c r="C120" s="136" t="s">
        <v>1215</v>
      </c>
      <c r="D120" s="136" t="s">
        <v>1215</v>
      </c>
      <c r="E120" s="136" t="s">
        <v>1215</v>
      </c>
      <c r="F120" s="136" t="s">
        <v>1215</v>
      </c>
      <c r="G120" s="136" t="s">
        <v>884</v>
      </c>
      <c r="H120" s="136" t="s">
        <v>1215</v>
      </c>
      <c r="I120" s="153" t="s">
        <v>884</v>
      </c>
      <c r="J120" s="153" t="s">
        <v>884</v>
      </c>
      <c r="K120" s="153" t="s">
        <v>1215</v>
      </c>
      <c r="L120" s="153" t="s">
        <v>884</v>
      </c>
      <c r="M120" s="153" t="s">
        <v>884</v>
      </c>
      <c r="N120" s="136" t="s">
        <v>1215</v>
      </c>
      <c r="O120" s="136" t="s">
        <v>1215</v>
      </c>
      <c r="P120" s="153" t="s">
        <v>884</v>
      </c>
      <c r="Q120" s="153" t="s">
        <v>884</v>
      </c>
      <c r="R120" s="153" t="s">
        <v>884</v>
      </c>
      <c r="S120" s="153" t="s">
        <v>884</v>
      </c>
      <c r="T120" s="153" t="s">
        <v>1215</v>
      </c>
      <c r="U120" s="153" t="s">
        <v>884</v>
      </c>
      <c r="V120" s="153" t="s">
        <v>1215</v>
      </c>
      <c r="W120" s="153" t="s">
        <v>884</v>
      </c>
      <c r="X120" s="153" t="s">
        <v>884</v>
      </c>
      <c r="Y120" s="153" t="s">
        <v>884</v>
      </c>
      <c r="Z120" s="153" t="s">
        <v>884</v>
      </c>
      <c r="AA120" s="573">
        <v>119</v>
      </c>
    </row>
    <row r="121" spans="2:27" s="154" customFormat="1" ht="15">
      <c r="B121" s="136" t="s">
        <v>1215</v>
      </c>
      <c r="C121" s="136" t="s">
        <v>1215</v>
      </c>
      <c r="D121" s="136" t="s">
        <v>1215</v>
      </c>
      <c r="E121" s="136" t="s">
        <v>1084</v>
      </c>
      <c r="F121" s="136" t="s">
        <v>1215</v>
      </c>
      <c r="G121" s="136" t="s">
        <v>1215</v>
      </c>
      <c r="H121" s="136" t="s">
        <v>1215</v>
      </c>
      <c r="I121" s="153" t="s">
        <v>1084</v>
      </c>
      <c r="J121" s="153" t="s">
        <v>1084</v>
      </c>
      <c r="K121" s="153" t="s">
        <v>1215</v>
      </c>
      <c r="L121" s="153" t="s">
        <v>1084</v>
      </c>
      <c r="M121" s="153" t="s">
        <v>1084</v>
      </c>
      <c r="N121" s="136" t="s">
        <v>1084</v>
      </c>
      <c r="O121" s="136" t="s">
        <v>1084</v>
      </c>
      <c r="P121" s="153" t="s">
        <v>1084</v>
      </c>
      <c r="Q121" s="153" t="s">
        <v>1084</v>
      </c>
      <c r="R121" s="153" t="s">
        <v>1084</v>
      </c>
      <c r="S121" s="153" t="s">
        <v>1084</v>
      </c>
      <c r="T121" s="153" t="s">
        <v>1215</v>
      </c>
      <c r="U121" s="153" t="s">
        <v>1215</v>
      </c>
      <c r="V121" s="153" t="s">
        <v>1215</v>
      </c>
      <c r="W121" s="153" t="s">
        <v>1215</v>
      </c>
      <c r="X121" s="153" t="s">
        <v>1084</v>
      </c>
      <c r="Y121" s="153" t="s">
        <v>1084</v>
      </c>
      <c r="Z121" s="153" t="s">
        <v>1215</v>
      </c>
      <c r="AA121" s="573">
        <v>120</v>
      </c>
    </row>
    <row r="122" spans="2:27" ht="15">
      <c r="B122" s="143" t="s">
        <v>1215</v>
      </c>
      <c r="C122" s="143" t="s">
        <v>1215</v>
      </c>
      <c r="D122" s="143" t="s">
        <v>1215</v>
      </c>
      <c r="E122" s="143" t="s">
        <v>1215</v>
      </c>
      <c r="F122" s="143" t="s">
        <v>1215</v>
      </c>
      <c r="G122" s="164" t="str">
        <f>IF(OR(Configurator!$D$12=8,Configurator!$D$14=7,Configurator!$D$14=9),"*","6")</f>
        <v>6</v>
      </c>
      <c r="H122" s="143" t="s">
        <v>1215</v>
      </c>
      <c r="I122" s="404" t="s">
        <v>1215</v>
      </c>
      <c r="J122" s="404" t="s">
        <v>1215</v>
      </c>
      <c r="K122" s="404" t="s">
        <v>1215</v>
      </c>
      <c r="L122" s="404" t="s">
        <v>1215</v>
      </c>
      <c r="M122" s="404" t="s">
        <v>1215</v>
      </c>
      <c r="N122" s="143" t="s">
        <v>1215</v>
      </c>
      <c r="O122" s="143" t="s">
        <v>1215</v>
      </c>
      <c r="P122" s="404" t="s">
        <v>1215</v>
      </c>
      <c r="Q122" s="404" t="s">
        <v>1215</v>
      </c>
      <c r="R122" s="404" t="s">
        <v>1215</v>
      </c>
      <c r="S122" s="404" t="s">
        <v>1215</v>
      </c>
      <c r="T122" s="404" t="s">
        <v>1215</v>
      </c>
      <c r="U122" s="404" t="s">
        <v>1215</v>
      </c>
      <c r="V122" s="404" t="s">
        <v>1215</v>
      </c>
      <c r="W122" s="404" t="s">
        <v>1215</v>
      </c>
      <c r="X122" s="404" t="s">
        <v>1215</v>
      </c>
      <c r="Y122" s="404" t="s">
        <v>1215</v>
      </c>
      <c r="Z122" s="404" t="s">
        <v>1215</v>
      </c>
      <c r="AA122" s="573">
        <v>121</v>
      </c>
    </row>
    <row r="123" spans="2:27" ht="15">
      <c r="B123" s="144" t="s">
        <v>1073</v>
      </c>
      <c r="C123" s="144" t="s">
        <v>1073</v>
      </c>
      <c r="D123" s="144" t="s">
        <v>1073</v>
      </c>
      <c r="E123" s="144" t="s">
        <v>1073</v>
      </c>
      <c r="F123" s="144" t="s">
        <v>1073</v>
      </c>
      <c r="G123" s="144" t="s">
        <v>1073</v>
      </c>
      <c r="H123" s="144" t="s">
        <v>1073</v>
      </c>
      <c r="I123" s="405" t="s">
        <v>1073</v>
      </c>
      <c r="J123" s="405" t="s">
        <v>1073</v>
      </c>
      <c r="K123" s="405" t="s">
        <v>1073</v>
      </c>
      <c r="L123" s="405" t="s">
        <v>1073</v>
      </c>
      <c r="M123" s="405" t="s">
        <v>1073</v>
      </c>
      <c r="N123" s="144" t="s">
        <v>1073</v>
      </c>
      <c r="O123" s="144" t="s">
        <v>1073</v>
      </c>
      <c r="P123" s="405" t="s">
        <v>1073</v>
      </c>
      <c r="Q123" s="405" t="s">
        <v>1073</v>
      </c>
      <c r="R123" s="405" t="s">
        <v>1073</v>
      </c>
      <c r="S123" s="405" t="s">
        <v>1073</v>
      </c>
      <c r="T123" s="405" t="s">
        <v>1073</v>
      </c>
      <c r="U123" s="405" t="s">
        <v>1073</v>
      </c>
      <c r="V123" s="405" t="s">
        <v>1073</v>
      </c>
      <c r="W123" s="405" t="s">
        <v>1073</v>
      </c>
      <c r="X123" s="405" t="s">
        <v>1073</v>
      </c>
      <c r="Y123" s="405" t="s">
        <v>1073</v>
      </c>
      <c r="Z123" s="405" t="s">
        <v>1073</v>
      </c>
      <c r="AA123" s="573">
        <v>122</v>
      </c>
    </row>
    <row r="124" spans="2:27" ht="15">
      <c r="B124" s="136" t="s">
        <v>716</v>
      </c>
      <c r="C124" s="136" t="s">
        <v>716</v>
      </c>
      <c r="D124" s="136" t="s">
        <v>716</v>
      </c>
      <c r="E124" s="136" t="s">
        <v>716</v>
      </c>
      <c r="F124" s="136" t="s">
        <v>716</v>
      </c>
      <c r="G124" s="136" t="s">
        <v>716</v>
      </c>
      <c r="H124" s="136" t="s">
        <v>716</v>
      </c>
      <c r="I124" s="153" t="s">
        <v>716</v>
      </c>
      <c r="J124" s="153" t="s">
        <v>716</v>
      </c>
      <c r="K124" s="153" t="s">
        <v>716</v>
      </c>
      <c r="L124" s="153" t="s">
        <v>716</v>
      </c>
      <c r="M124" s="153" t="s">
        <v>716</v>
      </c>
      <c r="N124" s="136" t="s">
        <v>716</v>
      </c>
      <c r="O124" s="136" t="s">
        <v>716</v>
      </c>
      <c r="P124" s="153" t="s">
        <v>716</v>
      </c>
      <c r="Q124" s="153" t="s">
        <v>716</v>
      </c>
      <c r="R124" s="153" t="s">
        <v>716</v>
      </c>
      <c r="S124" s="153" t="s">
        <v>716</v>
      </c>
      <c r="T124" s="153" t="s">
        <v>716</v>
      </c>
      <c r="U124" s="153" t="s">
        <v>716</v>
      </c>
      <c r="V124" s="153" t="s">
        <v>716</v>
      </c>
      <c r="W124" s="153" t="s">
        <v>716</v>
      </c>
      <c r="X124" s="153" t="s">
        <v>716</v>
      </c>
      <c r="Y124" s="153" t="s">
        <v>716</v>
      </c>
      <c r="Z124" s="153" t="s">
        <v>716</v>
      </c>
      <c r="AA124" s="573">
        <v>123</v>
      </c>
    </row>
    <row r="125" spans="2:27" ht="15">
      <c r="B125" s="136" t="s">
        <v>1088</v>
      </c>
      <c r="C125" s="136" t="s">
        <v>1088</v>
      </c>
      <c r="D125" s="136" t="s">
        <v>1088</v>
      </c>
      <c r="E125" s="136" t="s">
        <v>1088</v>
      </c>
      <c r="F125" s="136" t="s">
        <v>1088</v>
      </c>
      <c r="G125" s="136" t="s">
        <v>1088</v>
      </c>
      <c r="H125" s="136" t="s">
        <v>1088</v>
      </c>
      <c r="I125" s="153" t="s">
        <v>1088</v>
      </c>
      <c r="J125" s="153" t="s">
        <v>1088</v>
      </c>
      <c r="K125" s="153" t="s">
        <v>1088</v>
      </c>
      <c r="L125" s="153" t="s">
        <v>1088</v>
      </c>
      <c r="M125" s="153" t="s">
        <v>1088</v>
      </c>
      <c r="N125" s="136" t="s">
        <v>1088</v>
      </c>
      <c r="O125" s="136" t="s">
        <v>1088</v>
      </c>
      <c r="P125" s="153" t="s">
        <v>1088</v>
      </c>
      <c r="Q125" s="153" t="s">
        <v>1088</v>
      </c>
      <c r="R125" s="153" t="s">
        <v>1088</v>
      </c>
      <c r="S125" s="153" t="s">
        <v>1088</v>
      </c>
      <c r="T125" s="153" t="s">
        <v>1088</v>
      </c>
      <c r="U125" s="153" t="s">
        <v>1088</v>
      </c>
      <c r="V125" s="153" t="s">
        <v>1088</v>
      </c>
      <c r="W125" s="153" t="s">
        <v>1088</v>
      </c>
      <c r="X125" s="153" t="s">
        <v>1088</v>
      </c>
      <c r="Y125" s="153" t="s">
        <v>1088</v>
      </c>
      <c r="Z125" s="153" t="s">
        <v>1088</v>
      </c>
      <c r="AA125" s="573">
        <v>124</v>
      </c>
    </row>
    <row r="126" spans="1:27" ht="15">
      <c r="A126" s="129" t="s">
        <v>1073</v>
      </c>
      <c r="B126" s="136" t="s">
        <v>1089</v>
      </c>
      <c r="C126" s="136" t="s">
        <v>716</v>
      </c>
      <c r="D126" s="136" t="s">
        <v>716</v>
      </c>
      <c r="E126" s="136" t="s">
        <v>1089</v>
      </c>
      <c r="F126" s="136" t="s">
        <v>716</v>
      </c>
      <c r="G126" s="136" t="s">
        <v>716</v>
      </c>
      <c r="H126" s="136" t="s">
        <v>716</v>
      </c>
      <c r="I126" s="153" t="s">
        <v>716</v>
      </c>
      <c r="J126" s="153" t="s">
        <v>716</v>
      </c>
      <c r="K126" s="153" t="s">
        <v>716</v>
      </c>
      <c r="L126" s="153" t="s">
        <v>716</v>
      </c>
      <c r="M126" s="153" t="s">
        <v>1089</v>
      </c>
      <c r="N126" s="136" t="s">
        <v>1089</v>
      </c>
      <c r="O126" s="136" t="s">
        <v>1089</v>
      </c>
      <c r="P126" s="153" t="s">
        <v>1089</v>
      </c>
      <c r="Q126" s="153" t="s">
        <v>1089</v>
      </c>
      <c r="R126" s="153" t="s">
        <v>1089</v>
      </c>
      <c r="S126" s="153" t="s">
        <v>1089</v>
      </c>
      <c r="T126" s="153" t="s">
        <v>716</v>
      </c>
      <c r="U126" s="153" t="s">
        <v>716</v>
      </c>
      <c r="V126" s="153" t="s">
        <v>716</v>
      </c>
      <c r="W126" s="153" t="s">
        <v>1089</v>
      </c>
      <c r="X126" s="153" t="s">
        <v>1089</v>
      </c>
      <c r="Y126" s="153" t="s">
        <v>1089</v>
      </c>
      <c r="Z126" s="153" t="s">
        <v>716</v>
      </c>
      <c r="AA126" s="573">
        <v>125</v>
      </c>
    </row>
    <row r="127" spans="2:27" ht="15">
      <c r="B127" s="136" t="s">
        <v>1090</v>
      </c>
      <c r="C127" s="136" t="s">
        <v>1090</v>
      </c>
      <c r="D127" s="136" t="s">
        <v>716</v>
      </c>
      <c r="E127" s="136" t="s">
        <v>1090</v>
      </c>
      <c r="F127" s="136" t="s">
        <v>1090</v>
      </c>
      <c r="G127" s="136" t="s">
        <v>1090</v>
      </c>
      <c r="H127" s="136" t="s">
        <v>1090</v>
      </c>
      <c r="I127" s="153" t="s">
        <v>716</v>
      </c>
      <c r="J127" s="153" t="s">
        <v>716</v>
      </c>
      <c r="K127" s="153" t="s">
        <v>716</v>
      </c>
      <c r="L127" s="153" t="s">
        <v>716</v>
      </c>
      <c r="M127" s="153" t="s">
        <v>1090</v>
      </c>
      <c r="N127" s="136" t="s">
        <v>1090</v>
      </c>
      <c r="O127" s="136" t="s">
        <v>1090</v>
      </c>
      <c r="P127" s="153" t="s">
        <v>1090</v>
      </c>
      <c r="Q127" s="153" t="s">
        <v>1090</v>
      </c>
      <c r="R127" s="153" t="s">
        <v>1090</v>
      </c>
      <c r="S127" s="153" t="s">
        <v>1090</v>
      </c>
      <c r="T127" s="153" t="s">
        <v>716</v>
      </c>
      <c r="U127" s="153" t="s">
        <v>716</v>
      </c>
      <c r="V127" s="153" t="s">
        <v>716</v>
      </c>
      <c r="W127" s="153" t="s">
        <v>716</v>
      </c>
      <c r="X127" s="153" t="s">
        <v>1090</v>
      </c>
      <c r="Y127" s="153" t="s">
        <v>716</v>
      </c>
      <c r="Z127" s="153" t="s">
        <v>716</v>
      </c>
      <c r="AA127" s="573">
        <v>126</v>
      </c>
    </row>
    <row r="128" spans="2:27" ht="15">
      <c r="B128" s="136" t="s">
        <v>716</v>
      </c>
      <c r="C128" s="136" t="s">
        <v>716</v>
      </c>
      <c r="D128" s="136" t="s">
        <v>716</v>
      </c>
      <c r="E128" s="136" t="s">
        <v>716</v>
      </c>
      <c r="F128" s="136" t="s">
        <v>716</v>
      </c>
      <c r="G128" s="136" t="s">
        <v>885</v>
      </c>
      <c r="H128" s="136" t="s">
        <v>716</v>
      </c>
      <c r="I128" s="153" t="s">
        <v>885</v>
      </c>
      <c r="J128" s="153" t="s">
        <v>885</v>
      </c>
      <c r="K128" s="153" t="s">
        <v>716</v>
      </c>
      <c r="L128" s="153" t="s">
        <v>885</v>
      </c>
      <c r="M128" s="153" t="s">
        <v>885</v>
      </c>
      <c r="N128" s="136" t="s">
        <v>716</v>
      </c>
      <c r="O128" s="136" t="s">
        <v>716</v>
      </c>
      <c r="P128" s="153" t="s">
        <v>885</v>
      </c>
      <c r="Q128" s="153" t="s">
        <v>885</v>
      </c>
      <c r="R128" s="153" t="s">
        <v>885</v>
      </c>
      <c r="S128" s="153" t="s">
        <v>885</v>
      </c>
      <c r="T128" s="153" t="s">
        <v>716</v>
      </c>
      <c r="U128" s="153" t="s">
        <v>885</v>
      </c>
      <c r="V128" s="153" t="s">
        <v>716</v>
      </c>
      <c r="W128" s="153" t="s">
        <v>885</v>
      </c>
      <c r="X128" s="153" t="s">
        <v>885</v>
      </c>
      <c r="Y128" s="153" t="s">
        <v>885</v>
      </c>
      <c r="Z128" s="153" t="s">
        <v>885</v>
      </c>
      <c r="AA128" s="573">
        <v>127</v>
      </c>
    </row>
    <row r="129" spans="2:27" s="154" customFormat="1" ht="15">
      <c r="B129" s="136" t="s">
        <v>716</v>
      </c>
      <c r="C129" s="136" t="s">
        <v>716</v>
      </c>
      <c r="D129" s="136" t="s">
        <v>716</v>
      </c>
      <c r="E129" s="136" t="s">
        <v>35</v>
      </c>
      <c r="F129" s="136" t="s">
        <v>716</v>
      </c>
      <c r="G129" s="136" t="s">
        <v>716</v>
      </c>
      <c r="H129" s="136" t="s">
        <v>716</v>
      </c>
      <c r="I129" s="153" t="s">
        <v>35</v>
      </c>
      <c r="J129" s="153" t="s">
        <v>35</v>
      </c>
      <c r="K129" s="153" t="s">
        <v>716</v>
      </c>
      <c r="L129" s="153" t="s">
        <v>35</v>
      </c>
      <c r="M129" s="153" t="s">
        <v>35</v>
      </c>
      <c r="N129" s="136" t="s">
        <v>35</v>
      </c>
      <c r="O129" s="136" t="s">
        <v>35</v>
      </c>
      <c r="P129" s="153" t="s">
        <v>35</v>
      </c>
      <c r="Q129" s="153" t="s">
        <v>35</v>
      </c>
      <c r="R129" s="153" t="s">
        <v>35</v>
      </c>
      <c r="S129" s="153" t="s">
        <v>35</v>
      </c>
      <c r="T129" s="153" t="s">
        <v>716</v>
      </c>
      <c r="U129" s="153" t="s">
        <v>716</v>
      </c>
      <c r="V129" s="153" t="s">
        <v>716</v>
      </c>
      <c r="W129" s="153" t="s">
        <v>716</v>
      </c>
      <c r="X129" s="153" t="s">
        <v>35</v>
      </c>
      <c r="Y129" s="153" t="s">
        <v>35</v>
      </c>
      <c r="Z129" s="153" t="s">
        <v>716</v>
      </c>
      <c r="AA129" s="573">
        <v>128</v>
      </c>
    </row>
    <row r="130" spans="2:27" ht="15">
      <c r="B130" s="145" t="s">
        <v>716</v>
      </c>
      <c r="C130" s="145" t="s">
        <v>716</v>
      </c>
      <c r="D130" s="145" t="s">
        <v>716</v>
      </c>
      <c r="E130" s="145" t="s">
        <v>716</v>
      </c>
      <c r="F130" s="145" t="s">
        <v>716</v>
      </c>
      <c r="G130" s="164" t="str">
        <f>IF(OR(Configurator!$D$12=8,Configurator!$D$14=7,Configurator!$D$14=9),"-80*","-806")</f>
        <v>-806</v>
      </c>
      <c r="H130" s="145" t="s">
        <v>716</v>
      </c>
      <c r="I130" s="236" t="s">
        <v>716</v>
      </c>
      <c r="J130" s="236" t="s">
        <v>716</v>
      </c>
      <c r="K130" s="236" t="s">
        <v>716</v>
      </c>
      <c r="L130" s="236" t="s">
        <v>716</v>
      </c>
      <c r="M130" s="236" t="s">
        <v>716</v>
      </c>
      <c r="N130" s="145" t="s">
        <v>716</v>
      </c>
      <c r="O130" s="145" t="s">
        <v>716</v>
      </c>
      <c r="P130" s="236" t="s">
        <v>716</v>
      </c>
      <c r="Q130" s="236" t="s">
        <v>716</v>
      </c>
      <c r="R130" s="236" t="s">
        <v>716</v>
      </c>
      <c r="S130" s="236" t="s">
        <v>716</v>
      </c>
      <c r="T130" s="236" t="s">
        <v>716</v>
      </c>
      <c r="U130" s="236" t="s">
        <v>716</v>
      </c>
      <c r="V130" s="236" t="s">
        <v>716</v>
      </c>
      <c r="W130" s="236" t="s">
        <v>716</v>
      </c>
      <c r="X130" s="236" t="s">
        <v>716</v>
      </c>
      <c r="Y130" s="236" t="s">
        <v>716</v>
      </c>
      <c r="Z130" s="236" t="s">
        <v>716</v>
      </c>
      <c r="AA130" s="573">
        <v>129</v>
      </c>
    </row>
    <row r="131" spans="1:27" ht="15.75">
      <c r="A131" s="238" t="str">
        <f>IF(Configurator!$L$7&gt;"-307","Binary modules for control of switchgear units","Customer Specific Options")</f>
        <v>Binary modules for control of switchgear units</v>
      </c>
      <c r="B131" s="403" t="s">
        <v>1477</v>
      </c>
      <c r="C131" s="403" t="s">
        <v>1477</v>
      </c>
      <c r="D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E131" s="403" t="s">
        <v>1477</v>
      </c>
      <c r="F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G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H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I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J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K131" s="403" t="s">
        <v>1477</v>
      </c>
      <c r="L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M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N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O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P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Q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R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S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T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U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V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W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X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Y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Z131" s="225" t="str">
        <f>IF(AND(Configurator!$L$7&gt;"-307",Configurator!$I$18=0),"Модуль без сильноточных контактов",IF(AND(Configurator!$L$7&gt;"-307",Configurator!$I$18=5),"Два модуля без сильноточных контактов","Стандартная версия"))</f>
        <v>Два модуля без сильноточных контактов</v>
      </c>
      <c r="AA131" s="573">
        <v>130</v>
      </c>
    </row>
    <row r="132" spans="2:27" ht="15">
      <c r="B132" s="136" t="s">
        <v>1073</v>
      </c>
      <c r="C132" s="136" t="s">
        <v>1073</v>
      </c>
      <c r="D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E132" s="136" t="s">
        <v>1073</v>
      </c>
      <c r="F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G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H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I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J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K132" s="153" t="s">
        <v>1073</v>
      </c>
      <c r="L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M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N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O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P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Q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R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S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T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U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V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W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X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Y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Z132" s="225" t="str">
        <f>IF(AND(Configurator!$L$7&gt;"-307",Configurator!$I$18=0),"Модуль с сильноточными контактами",IF(AND(Configurator!$L$7&gt;"-307",Configurator!$I$18=5),"Первый модуль с сильноточными контактами, второй с нормальными контактами"," "))</f>
        <v>Первый модуль с сильноточными контактами, второй с нормальными контактами</v>
      </c>
      <c r="AA132" s="573">
        <v>131</v>
      </c>
    </row>
    <row r="133" spans="2:27" ht="15">
      <c r="B133" s="136" t="s">
        <v>1073</v>
      </c>
      <c r="C133" s="136" t="s">
        <v>1073</v>
      </c>
      <c r="D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E133" s="136" t="s">
        <v>1073</v>
      </c>
      <c r="F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G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H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I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J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K133" s="153" t="s">
        <v>1073</v>
      </c>
      <c r="L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M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N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O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P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Q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R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S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T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U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V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W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X133" s="225" t="str">
        <f>IF(AND(Configurator!$L$7&gt;"-307",Configurator!$I$18=0)," ",IF(AND(Configurator!$L$7&gt;"-307",Configurator!$I$18=5),"Два модуля с сильноточными контактами
"," "))</f>
        <v>Два модуля с сильноточными контактами
</v>
      </c>
      <c r="Y133" s="225" t="str">
        <f>IF(AND(Configurator!$L$7&gt;"-307",Configurator!$I$19=0)," ",IF(AND(Configurator!$L$7&gt;"-307",Configurator!$I$19=5),"Two modules with high break contacts"," "))</f>
        <v> </v>
      </c>
      <c r="Z133" s="225" t="str">
        <f>IF(AND(Configurator!$L$7&gt;"-307",Configurator!$I$19=0)," ",IF(AND(Configurator!$L$7&gt;"-307",Configurator!$I$19=5),"Two modules with high break contacts"," "))</f>
        <v> </v>
      </c>
      <c r="AA133" s="573">
        <v>132</v>
      </c>
    </row>
    <row r="134" spans="2:27" ht="15">
      <c r="B134" s="134">
        <v>0</v>
      </c>
      <c r="C134" s="134">
        <v>0</v>
      </c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217">
        <v>0</v>
      </c>
      <c r="J134" s="217">
        <v>0</v>
      </c>
      <c r="K134" s="217">
        <v>0</v>
      </c>
      <c r="L134" s="217">
        <v>0</v>
      </c>
      <c r="M134" s="217">
        <v>0</v>
      </c>
      <c r="N134" s="134">
        <v>0</v>
      </c>
      <c r="O134" s="134">
        <v>0</v>
      </c>
      <c r="P134" s="217">
        <v>0</v>
      </c>
      <c r="Q134" s="217">
        <v>0</v>
      </c>
      <c r="R134" s="217">
        <v>0</v>
      </c>
      <c r="S134" s="217">
        <v>0</v>
      </c>
      <c r="T134" s="217">
        <v>0</v>
      </c>
      <c r="U134" s="217">
        <v>0</v>
      </c>
      <c r="V134" s="217">
        <v>0</v>
      </c>
      <c r="W134" s="217">
        <v>0</v>
      </c>
      <c r="X134" s="217">
        <v>0</v>
      </c>
      <c r="Y134" s="217">
        <v>0</v>
      </c>
      <c r="Z134" s="217">
        <v>0</v>
      </c>
      <c r="AA134" s="573">
        <v>133</v>
      </c>
    </row>
    <row r="135" spans="2:27" s="154" customFormat="1" ht="15">
      <c r="B135" s="134" t="s">
        <v>1215</v>
      </c>
      <c r="C135" s="134" t="s">
        <v>1215</v>
      </c>
      <c r="D135" s="139" t="str">
        <f>IF(AND(Configurator!$L$7&gt;"-307",Configurator!$I$18=0),"1",IF(AND(Configurator!$L$7&gt;"-307",Configurator!$I$18=5),"1","*"))</f>
        <v>1</v>
      </c>
      <c r="E135" s="134" t="s">
        <v>1215</v>
      </c>
      <c r="F135" s="139" t="str">
        <f>IF(AND(Configurator!$L$7&gt;"-307",Configurator!$I$18=0),"1",IF(AND(Configurator!$L$7&gt;"-307",Configurator!$I$18=5),"1","*"))</f>
        <v>1</v>
      </c>
      <c r="G135" s="139" t="str">
        <f>IF(AND(Configurator!$L$7&gt;"-307",Configurator!$I$18=0),"1",IF(AND(Configurator!$L$7&gt;"-307",Configurator!$I$18=5),"1","*"))</f>
        <v>1</v>
      </c>
      <c r="H135" s="139" t="str">
        <f>IF(AND(Configurator!$L$7&gt;"-307",Configurator!$I$18=0),"1",IF(AND(Configurator!$L$7&gt;"-307",Configurator!$I$18=5),"1","*"))</f>
        <v>1</v>
      </c>
      <c r="I135" s="225" t="str">
        <f>IF(AND(Configurator!$L$7&gt;"-307",Configurator!$I$18=0),"1",IF(AND(Configurator!$L$7&gt;"-307",Configurator!$I$18=5),"1","*"))</f>
        <v>1</v>
      </c>
      <c r="J135" s="225" t="str">
        <f>IF(AND(Configurator!$L$7&gt;"-307",Configurator!$I$18=0),"1",IF(AND(Configurator!$L$7&gt;"-307",Configurator!$I$18=5),"1","*"))</f>
        <v>1</v>
      </c>
      <c r="K135" s="217" t="s">
        <v>1215</v>
      </c>
      <c r="L135" s="225" t="str">
        <f>IF(AND(Configurator!$L$7&gt;"-307",Configurator!$I$18=0),"1",IF(AND(Configurator!$L$7&gt;"-307",Configurator!$I$18=5),"1","*"))</f>
        <v>1</v>
      </c>
      <c r="M135" s="225" t="str">
        <f>IF(AND(Configurator!$L$7&gt;"-307",Configurator!$I$18=0),"1",IF(AND(Configurator!$L$7&gt;"-307",Configurator!$I$18=5),"1","*"))</f>
        <v>1</v>
      </c>
      <c r="N135" s="139" t="str">
        <f>IF(AND(Configurator!$L$7&gt;"-307",Configurator!$I$18=0),"1",IF(AND(Configurator!$L$7&gt;"-307",Configurator!$I$18=5),"1","*"))</f>
        <v>1</v>
      </c>
      <c r="O135" s="139" t="str">
        <f>IF(AND(Configurator!$L$7&gt;"-307",Configurator!$I$18=0),"1",IF(AND(Configurator!$L$7&gt;"-307",Configurator!$I$18=5),"1","*"))</f>
        <v>1</v>
      </c>
      <c r="P135" s="225" t="str">
        <f>IF(AND(Configurator!$L$7&gt;"-307",Configurator!$I$18=0),"1",IF(AND(Configurator!$L$7&gt;"-307",Configurator!$I$18=5),"1","*"))</f>
        <v>1</v>
      </c>
      <c r="Q135" s="225" t="str">
        <f>IF(AND(Configurator!$L$7&gt;"-307",Configurator!$I$18=0),"1",IF(AND(Configurator!$L$7&gt;"-307",Configurator!$I$18=5),"1","*"))</f>
        <v>1</v>
      </c>
      <c r="R135" s="225" t="str">
        <f>IF(AND(Configurator!$L$7&gt;"-307",Configurator!$I$18=0),"1",IF(AND(Configurator!$L$7&gt;"-307",Configurator!$I$18=5),"1","*"))</f>
        <v>1</v>
      </c>
      <c r="S135" s="225" t="str">
        <f>IF(AND(Configurator!$L$7&gt;"-307",Configurator!$I$18=0),"1",IF(AND(Configurator!$L$7&gt;"-307",Configurator!$I$18=5),"1","*"))</f>
        <v>1</v>
      </c>
      <c r="T135" s="225" t="str">
        <f>IF(AND(Configurator!$L$7&gt;"-307",Configurator!$I$18=0),"1",IF(AND(Configurator!$L$7&gt;"-307",Configurator!$I$18=5),"1","*"))</f>
        <v>1</v>
      </c>
      <c r="U135" s="225" t="str">
        <f>IF(AND(Configurator!$L$7&gt;"-307",Configurator!$I$18=0),"1",IF(AND(Configurator!$L$7&gt;"-307",Configurator!$I$18=5),"1","*"))</f>
        <v>1</v>
      </c>
      <c r="V135" s="225" t="str">
        <f>IF(AND(Configurator!$L$7&gt;"-307",Configurator!$I$18=0),"1",IF(AND(Configurator!$L$7&gt;"-307",Configurator!$I$18=5),"1","*"))</f>
        <v>1</v>
      </c>
      <c r="W135" s="225" t="str">
        <f>IF(AND(Configurator!$L$7&gt;"-307",Configurator!$I$18=0),"1",IF(AND(Configurator!$L$7&gt;"-307",Configurator!$I$18=5),"1","*"))</f>
        <v>1</v>
      </c>
      <c r="X135" s="225" t="str">
        <f>IF(AND(Configurator!$L$7&gt;"-307",Configurator!$I$18=0),"1",IF(AND(Configurator!$L$7&gt;"-307",Configurator!$I$18=5),"1","*"))</f>
        <v>1</v>
      </c>
      <c r="Y135" s="225" t="str">
        <f>IF(AND(Configurator!$L$7&gt;"-307",Configurator!$I$19=0),"1",IF(AND(Configurator!$L$7&gt;"-307",Configurator!$I$19=5),"1","*"))</f>
        <v>1</v>
      </c>
      <c r="Z135" s="225" t="str">
        <f>IF(AND(Configurator!$L$7&gt;"-307",Configurator!$I$19=0),"1",IF(AND(Configurator!$L$7&gt;"-307",Configurator!$I$19=5),"1","*"))</f>
        <v>1</v>
      </c>
      <c r="AA135" s="573">
        <v>134</v>
      </c>
    </row>
    <row r="136" spans="2:27" ht="15">
      <c r="B136" s="143" t="s">
        <v>1215</v>
      </c>
      <c r="C136" s="143" t="s">
        <v>1215</v>
      </c>
      <c r="D136" s="230" t="str">
        <f>IF(AND(Configurator!$L$7&gt;"-307",Configurator!$I$18=0),"1",IF(AND(Configurator!$L$7&gt;"-307",Configurator!$I$18=5),"2","*"))</f>
        <v>2</v>
      </c>
      <c r="E136" s="143" t="s">
        <v>1215</v>
      </c>
      <c r="F136" s="230" t="str">
        <f>IF(AND(Configurator!$L$7&gt;"-307",Configurator!$I$18=0),"1",IF(AND(Configurator!$L$7&gt;"-307",Configurator!$I$18=5),"2","*"))</f>
        <v>2</v>
      </c>
      <c r="G136" s="230" t="str">
        <f>IF(AND(Configurator!$L$7&gt;"-307",Configurator!$I$18=0),"1",IF(AND(Configurator!$L$7&gt;"-307",Configurator!$I$18=5),"2","*"))</f>
        <v>2</v>
      </c>
      <c r="H136" s="230" t="str">
        <f>IF(AND(Configurator!$L$7&gt;"-307",Configurator!$I$18=0),"1",IF(AND(Configurator!$L$7&gt;"-307",Configurator!$I$18=5),"2","*"))</f>
        <v>2</v>
      </c>
      <c r="I136" s="226" t="str">
        <f>IF(AND(Configurator!$L$7&gt;"-307",Configurator!$I$18=0),"1",IF(AND(Configurator!$L$7&gt;"-307",Configurator!$I$18=5),"2","*"))</f>
        <v>2</v>
      </c>
      <c r="J136" s="226" t="str">
        <f>IF(AND(Configurator!$L$7&gt;"-307",Configurator!$I$18=0),"1",IF(AND(Configurator!$L$7&gt;"-307",Configurator!$I$18=5),"2","*"))</f>
        <v>2</v>
      </c>
      <c r="K136" s="404" t="s">
        <v>1215</v>
      </c>
      <c r="L136" s="226" t="str">
        <f>IF(AND(Configurator!$L$7&gt;"-307",Configurator!$I$18=0),"1",IF(AND(Configurator!$L$7&gt;"-307",Configurator!$I$18=5),"2","*"))</f>
        <v>2</v>
      </c>
      <c r="M136" s="226" t="str">
        <f>IF(AND(Configurator!$L$7&gt;"-307",Configurator!$I$18=0),"1",IF(AND(Configurator!$L$7&gt;"-307",Configurator!$I$18=5),"2","*"))</f>
        <v>2</v>
      </c>
      <c r="N136" s="230" t="str">
        <f>IF(AND(Configurator!$L$7&gt;"-307",Configurator!$I$18=0),"1",IF(AND(Configurator!$L$7&gt;"-307",Configurator!$I$18=5),"2","*"))</f>
        <v>2</v>
      </c>
      <c r="O136" s="230" t="str">
        <f>IF(AND(Configurator!$L$7&gt;"-307",Configurator!$I$18=0),"1",IF(AND(Configurator!$L$7&gt;"-307",Configurator!$I$18=5),"2","*"))</f>
        <v>2</v>
      </c>
      <c r="P136" s="226" t="str">
        <f>IF(AND(Configurator!$L$7&gt;"-307",Configurator!$I$18=0),"1",IF(AND(Configurator!$L$7&gt;"-307",Configurator!$I$18=5),"2","*"))</f>
        <v>2</v>
      </c>
      <c r="Q136" s="226" t="str">
        <f>IF(AND(Configurator!$L$7&gt;"-307",Configurator!$I$18=0),"1",IF(AND(Configurator!$L$7&gt;"-307",Configurator!$I$18=5),"2","*"))</f>
        <v>2</v>
      </c>
      <c r="R136" s="226" t="str">
        <f>IF(AND(Configurator!$L$7&gt;"-307",Configurator!$I$18=0),"1",IF(AND(Configurator!$L$7&gt;"-307",Configurator!$I$18=5),"2","*"))</f>
        <v>2</v>
      </c>
      <c r="S136" s="226" t="str">
        <f>IF(AND(Configurator!$L$7&gt;"-307",Configurator!$I$18=0),"1",IF(AND(Configurator!$L$7&gt;"-307",Configurator!$I$18=5),"2","*"))</f>
        <v>2</v>
      </c>
      <c r="T136" s="226" t="str">
        <f>IF(AND(Configurator!$L$7&gt;"-307",Configurator!$I$18=0),"1",IF(AND(Configurator!$L$7&gt;"-307",Configurator!$I$18=5),"2","*"))</f>
        <v>2</v>
      </c>
      <c r="U136" s="226" t="str">
        <f>IF(AND(Configurator!$L$7&gt;"-307",Configurator!$I$18=0),"1",IF(AND(Configurator!$L$7&gt;"-307",Configurator!$I$18=5),"2","*"))</f>
        <v>2</v>
      </c>
      <c r="V136" s="226" t="str">
        <f>IF(AND(Configurator!$L$7&gt;"-307",Configurator!$I$18=0),"1",IF(AND(Configurator!$L$7&gt;"-307",Configurator!$I$18=5),"2","*"))</f>
        <v>2</v>
      </c>
      <c r="W136" s="226" t="str">
        <f>IF(AND(Configurator!$L$7&gt;"-307",Configurator!$I$18=0),"1",IF(AND(Configurator!$L$7&gt;"-307",Configurator!$I$18=5),"2","*"))</f>
        <v>2</v>
      </c>
      <c r="X136" s="226" t="str">
        <f>IF(AND(Configurator!$L$7&gt;"-307",Configurator!$I$18=0),"1",IF(AND(Configurator!$L$7&gt;"-307",Configurator!$I$18=5),"2","*"))</f>
        <v>2</v>
      </c>
      <c r="Y136" s="226" t="str">
        <f>IF(AND(Configurator!$L$7&gt;"-307",Configurator!$I$19=0),"1",IF(AND(Configurator!$L$7&gt;"-307",Configurator!$I$19=5),"2","*"))</f>
        <v>1</v>
      </c>
      <c r="Z136" s="226" t="str">
        <f>IF(AND(Configurator!$L$7&gt;"-307",Configurator!$I$19=0),"1",IF(AND(Configurator!$L$7&gt;"-307",Configurator!$I$19=5),"2","*"))</f>
        <v>1</v>
      </c>
      <c r="AA136" s="573">
        <v>135</v>
      </c>
    </row>
    <row r="137" spans="1:27" ht="15">
      <c r="A137" s="146" t="s">
        <v>81</v>
      </c>
      <c r="B137" s="217" t="s">
        <v>1377</v>
      </c>
      <c r="C137" s="217" t="s">
        <v>1377</v>
      </c>
      <c r="D137" s="217" t="s">
        <v>1377</v>
      </c>
      <c r="E137" s="217" t="s">
        <v>1377</v>
      </c>
      <c r="F137" s="217" t="s">
        <v>1377</v>
      </c>
      <c r="G137" s="217" t="s">
        <v>1377</v>
      </c>
      <c r="H137" s="217" t="s">
        <v>1377</v>
      </c>
      <c r="I137" s="217" t="s">
        <v>1377</v>
      </c>
      <c r="J137" s="217" t="s">
        <v>1377</v>
      </c>
      <c r="K137" s="217" t="s">
        <v>1377</v>
      </c>
      <c r="L137" s="217" t="s">
        <v>1377</v>
      </c>
      <c r="M137" s="217" t="s">
        <v>1377</v>
      </c>
      <c r="N137" s="217" t="s">
        <v>1377</v>
      </c>
      <c r="O137" s="217" t="s">
        <v>1377</v>
      </c>
      <c r="P137" s="217" t="s">
        <v>1377</v>
      </c>
      <c r="Q137" s="217" t="s">
        <v>1377</v>
      </c>
      <c r="R137" s="217" t="s">
        <v>1377</v>
      </c>
      <c r="S137" s="217" t="s">
        <v>1377</v>
      </c>
      <c r="T137" s="217" t="s">
        <v>1377</v>
      </c>
      <c r="U137" s="217" t="s">
        <v>1377</v>
      </c>
      <c r="V137" s="217" t="s">
        <v>1377</v>
      </c>
      <c r="W137" s="217" t="s">
        <v>1377</v>
      </c>
      <c r="X137" s="217" t="s">
        <v>1377</v>
      </c>
      <c r="Y137" s="582" t="s">
        <v>1655</v>
      </c>
      <c r="Z137" s="582" t="s">
        <v>1655</v>
      </c>
      <c r="AA137" s="573">
        <v>136</v>
      </c>
    </row>
    <row r="138" spans="2:27" ht="15">
      <c r="B138" s="134" t="s">
        <v>1060</v>
      </c>
      <c r="C138" s="134" t="s">
        <v>1060</v>
      </c>
      <c r="D138" s="134" t="s">
        <v>1060</v>
      </c>
      <c r="E138" s="134" t="s">
        <v>1060</v>
      </c>
      <c r="F138" s="134" t="s">
        <v>1060</v>
      </c>
      <c r="G138" s="134" t="s">
        <v>1060</v>
      </c>
      <c r="H138" s="134" t="s">
        <v>1060</v>
      </c>
      <c r="I138" s="217" t="s">
        <v>1060</v>
      </c>
      <c r="J138" s="217" t="s">
        <v>1060</v>
      </c>
      <c r="K138" s="217" t="s">
        <v>1060</v>
      </c>
      <c r="L138" s="217" t="s">
        <v>1060</v>
      </c>
      <c r="M138" s="217" t="s">
        <v>1060</v>
      </c>
      <c r="N138" s="134" t="s">
        <v>1060</v>
      </c>
      <c r="O138" s="134" t="s">
        <v>1060</v>
      </c>
      <c r="P138" s="217" t="s">
        <v>1060</v>
      </c>
      <c r="Q138" s="217" t="s">
        <v>1060</v>
      </c>
      <c r="R138" s="217" t="s">
        <v>1060</v>
      </c>
      <c r="S138" s="217" t="s">
        <v>1060</v>
      </c>
      <c r="T138" s="217" t="s">
        <v>1060</v>
      </c>
      <c r="U138" s="217" t="s">
        <v>1060</v>
      </c>
      <c r="V138" s="217" t="s">
        <v>1060</v>
      </c>
      <c r="W138" s="217" t="s">
        <v>1060</v>
      </c>
      <c r="X138" s="217" t="s">
        <v>1060</v>
      </c>
      <c r="Y138" s="582" t="s">
        <v>1656</v>
      </c>
      <c r="Z138" s="582" t="s">
        <v>1656</v>
      </c>
      <c r="AA138" s="573">
        <v>137</v>
      </c>
    </row>
    <row r="139" spans="2:27" ht="15">
      <c r="B139" s="134" t="s">
        <v>1061</v>
      </c>
      <c r="C139" s="134" t="s">
        <v>1061</v>
      </c>
      <c r="D139" s="134" t="s">
        <v>1061</v>
      </c>
      <c r="E139" s="134" t="s">
        <v>1061</v>
      </c>
      <c r="F139" s="134" t="s">
        <v>1061</v>
      </c>
      <c r="G139" s="134" t="s">
        <v>1061</v>
      </c>
      <c r="H139" s="134" t="s">
        <v>1061</v>
      </c>
      <c r="I139" s="217" t="s">
        <v>1061</v>
      </c>
      <c r="J139" s="217" t="s">
        <v>1061</v>
      </c>
      <c r="K139" s="217" t="s">
        <v>1061</v>
      </c>
      <c r="L139" s="217" t="s">
        <v>1061</v>
      </c>
      <c r="M139" s="217" t="s">
        <v>1061</v>
      </c>
      <c r="N139" s="134" t="s">
        <v>1061</v>
      </c>
      <c r="O139" s="134" t="s">
        <v>1061</v>
      </c>
      <c r="P139" s="217" t="s">
        <v>1061</v>
      </c>
      <c r="Q139" s="217" t="s">
        <v>1061</v>
      </c>
      <c r="R139" s="217" t="s">
        <v>1061</v>
      </c>
      <c r="S139" s="217" t="s">
        <v>1061</v>
      </c>
      <c r="T139" s="217" t="s">
        <v>1061</v>
      </c>
      <c r="U139" s="217" t="s">
        <v>1061</v>
      </c>
      <c r="V139" s="217" t="s">
        <v>1061</v>
      </c>
      <c r="W139" s="217" t="s">
        <v>1061</v>
      </c>
      <c r="X139" s="217" t="s">
        <v>1061</v>
      </c>
      <c r="Y139" s="582" t="s">
        <v>1659</v>
      </c>
      <c r="Z139" s="582" t="s">
        <v>1659</v>
      </c>
      <c r="AA139" s="573">
        <v>138</v>
      </c>
    </row>
    <row r="140" spans="2:27" ht="15">
      <c r="B140" s="139">
        <f>IF(Configurator!$T$5="5","","&gt;73 V (67% of VA,nom = 110 V)")</f>
      </c>
      <c r="C140" s="139">
        <f>IF(Configurator!$T$5="5","","&gt;73 V (67% of VA,nom = 110 V)")</f>
      </c>
      <c r="D140" s="134" t="s">
        <v>869</v>
      </c>
      <c r="E140" s="134" t="s">
        <v>869</v>
      </c>
      <c r="F140" s="134" t="s">
        <v>869</v>
      </c>
      <c r="G140" s="134" t="s">
        <v>869</v>
      </c>
      <c r="H140" s="134" t="s">
        <v>869</v>
      </c>
      <c r="I140" s="217" t="s">
        <v>869</v>
      </c>
      <c r="J140" s="217" t="s">
        <v>869</v>
      </c>
      <c r="K140" s="217" t="s">
        <v>869</v>
      </c>
      <c r="L140" s="217" t="s">
        <v>869</v>
      </c>
      <c r="M140" s="217" t="s">
        <v>869</v>
      </c>
      <c r="N140" s="134" t="s">
        <v>869</v>
      </c>
      <c r="O140" s="134" t="s">
        <v>869</v>
      </c>
      <c r="P140" s="217" t="s">
        <v>869</v>
      </c>
      <c r="Q140" s="217" t="s">
        <v>869</v>
      </c>
      <c r="R140" s="217" t="s">
        <v>869</v>
      </c>
      <c r="S140" s="217" t="s">
        <v>869</v>
      </c>
      <c r="T140" s="217" t="s">
        <v>869</v>
      </c>
      <c r="U140" s="217" t="s">
        <v>869</v>
      </c>
      <c r="V140" s="217" t="s">
        <v>869</v>
      </c>
      <c r="W140" s="217" t="s">
        <v>869</v>
      </c>
      <c r="X140" s="217" t="s">
        <v>869</v>
      </c>
      <c r="Y140" s="582" t="s">
        <v>1658</v>
      </c>
      <c r="Z140" s="582" t="s">
        <v>1658</v>
      </c>
      <c r="AA140" s="573">
        <v>139</v>
      </c>
    </row>
    <row r="141" spans="2:27" ht="15">
      <c r="B141" s="139">
        <f>IF(Configurator!$T$5="5","","&gt;146 V (67% of VA,nom = 220 V)")</f>
      </c>
      <c r="C141" s="139">
        <f>IF(Configurator!$T$5="5","","&gt;146 V (67% of VA,nom = 220 V)")</f>
      </c>
      <c r="D141" s="134" t="s">
        <v>870</v>
      </c>
      <c r="E141" s="134" t="s">
        <v>870</v>
      </c>
      <c r="F141" s="134" t="s">
        <v>870</v>
      </c>
      <c r="G141" s="134" t="s">
        <v>870</v>
      </c>
      <c r="H141" s="134" t="s">
        <v>870</v>
      </c>
      <c r="I141" s="217" t="s">
        <v>870</v>
      </c>
      <c r="J141" s="217" t="s">
        <v>870</v>
      </c>
      <c r="K141" s="217" t="s">
        <v>870</v>
      </c>
      <c r="L141" s="217" t="s">
        <v>870</v>
      </c>
      <c r="M141" s="217" t="s">
        <v>870</v>
      </c>
      <c r="N141" s="134" t="s">
        <v>870</v>
      </c>
      <c r="O141" s="134" t="s">
        <v>870</v>
      </c>
      <c r="P141" s="217" t="s">
        <v>870</v>
      </c>
      <c r="Q141" s="217" t="s">
        <v>870</v>
      </c>
      <c r="R141" s="217" t="s">
        <v>870</v>
      </c>
      <c r="S141" s="217" t="s">
        <v>870</v>
      </c>
      <c r="T141" s="217" t="s">
        <v>870</v>
      </c>
      <c r="U141" s="217" t="s">
        <v>870</v>
      </c>
      <c r="V141" s="217" t="s">
        <v>870</v>
      </c>
      <c r="W141" s="217" t="s">
        <v>870</v>
      </c>
      <c r="X141" s="217" t="s">
        <v>870</v>
      </c>
      <c r="Y141" s="582" t="s">
        <v>1657</v>
      </c>
      <c r="Z141" s="582" t="s">
        <v>1657</v>
      </c>
      <c r="AA141" s="573">
        <v>140</v>
      </c>
    </row>
    <row r="142" spans="2:27" ht="15">
      <c r="B142" s="136" t="s">
        <v>1073</v>
      </c>
      <c r="C142" s="136" t="s">
        <v>1073</v>
      </c>
      <c r="D142" s="136" t="s">
        <v>1073</v>
      </c>
      <c r="E142" s="136" t="s">
        <v>1073</v>
      </c>
      <c r="F142" s="136" t="s">
        <v>1073</v>
      </c>
      <c r="G142" s="136" t="s">
        <v>1073</v>
      </c>
      <c r="H142" s="136" t="s">
        <v>1073</v>
      </c>
      <c r="I142" s="153" t="s">
        <v>1073</v>
      </c>
      <c r="J142" s="153" t="s">
        <v>1073</v>
      </c>
      <c r="K142" s="153" t="s">
        <v>1073</v>
      </c>
      <c r="L142" s="153" t="s">
        <v>1073</v>
      </c>
      <c r="M142" s="153" t="s">
        <v>1073</v>
      </c>
      <c r="N142" s="136" t="s">
        <v>1073</v>
      </c>
      <c r="O142" s="136" t="s">
        <v>1073</v>
      </c>
      <c r="P142" s="153" t="s">
        <v>1073</v>
      </c>
      <c r="Q142" s="153" t="s">
        <v>1073</v>
      </c>
      <c r="R142" s="153" t="s">
        <v>1073</v>
      </c>
      <c r="S142" s="153" t="s">
        <v>1073</v>
      </c>
      <c r="T142" s="153" t="s">
        <v>1073</v>
      </c>
      <c r="U142" s="153" t="s">
        <v>1073</v>
      </c>
      <c r="V142" s="153" t="s">
        <v>1073</v>
      </c>
      <c r="W142" s="153" t="s">
        <v>1073</v>
      </c>
      <c r="X142" s="153" t="s">
        <v>1073</v>
      </c>
      <c r="Y142" s="153" t="s">
        <v>1073</v>
      </c>
      <c r="Z142" s="153" t="s">
        <v>1073</v>
      </c>
      <c r="AA142" s="573">
        <v>141</v>
      </c>
    </row>
    <row r="143" spans="2:27" ht="15">
      <c r="B143" s="136" t="s">
        <v>63</v>
      </c>
      <c r="C143" s="136" t="s">
        <v>63</v>
      </c>
      <c r="D143" s="136" t="s">
        <v>63</v>
      </c>
      <c r="E143" s="136" t="s">
        <v>63</v>
      </c>
      <c r="F143" s="136" t="s">
        <v>63</v>
      </c>
      <c r="G143" s="136" t="s">
        <v>63</v>
      </c>
      <c r="H143" s="136" t="s">
        <v>63</v>
      </c>
      <c r="I143" s="153" t="s">
        <v>63</v>
      </c>
      <c r="J143" s="153" t="s">
        <v>63</v>
      </c>
      <c r="K143" s="153" t="s">
        <v>63</v>
      </c>
      <c r="L143" s="153" t="s">
        <v>63</v>
      </c>
      <c r="M143" s="153" t="s">
        <v>63</v>
      </c>
      <c r="N143" s="136" t="s">
        <v>63</v>
      </c>
      <c r="O143" s="136" t="s">
        <v>63</v>
      </c>
      <c r="P143" s="153" t="s">
        <v>63</v>
      </c>
      <c r="Q143" s="153" t="s">
        <v>63</v>
      </c>
      <c r="R143" s="153" t="s">
        <v>63</v>
      </c>
      <c r="S143" s="153" t="s">
        <v>63</v>
      </c>
      <c r="T143" s="153" t="s">
        <v>63</v>
      </c>
      <c r="U143" s="153" t="s">
        <v>63</v>
      </c>
      <c r="V143" s="153" t="s">
        <v>63</v>
      </c>
      <c r="W143" s="153" t="s">
        <v>63</v>
      </c>
      <c r="X143" s="153" t="s">
        <v>63</v>
      </c>
      <c r="Y143" s="153" t="s">
        <v>63</v>
      </c>
      <c r="Z143" s="153" t="s">
        <v>63</v>
      </c>
      <c r="AA143" s="573">
        <v>142</v>
      </c>
    </row>
    <row r="144" spans="2:27" ht="15">
      <c r="B144" s="136" t="s">
        <v>64</v>
      </c>
      <c r="C144" s="136" t="s">
        <v>64</v>
      </c>
      <c r="D144" s="136" t="s">
        <v>64</v>
      </c>
      <c r="E144" s="136" t="s">
        <v>64</v>
      </c>
      <c r="F144" s="136" t="s">
        <v>64</v>
      </c>
      <c r="G144" s="136" t="s">
        <v>64</v>
      </c>
      <c r="H144" s="136" t="s">
        <v>64</v>
      </c>
      <c r="I144" s="153" t="s">
        <v>64</v>
      </c>
      <c r="J144" s="153" t="s">
        <v>64</v>
      </c>
      <c r="K144" s="153" t="s">
        <v>64</v>
      </c>
      <c r="L144" s="153" t="s">
        <v>64</v>
      </c>
      <c r="M144" s="153" t="s">
        <v>64</v>
      </c>
      <c r="N144" s="136" t="s">
        <v>64</v>
      </c>
      <c r="O144" s="136" t="s">
        <v>64</v>
      </c>
      <c r="P144" s="153" t="s">
        <v>64</v>
      </c>
      <c r="Q144" s="153" t="s">
        <v>64</v>
      </c>
      <c r="R144" s="153" t="s">
        <v>64</v>
      </c>
      <c r="S144" s="153" t="s">
        <v>64</v>
      </c>
      <c r="T144" s="153" t="s">
        <v>64</v>
      </c>
      <c r="U144" s="153" t="s">
        <v>64</v>
      </c>
      <c r="V144" s="153" t="s">
        <v>64</v>
      </c>
      <c r="W144" s="153" t="s">
        <v>64</v>
      </c>
      <c r="X144" s="153" t="s">
        <v>64</v>
      </c>
      <c r="Y144" s="153" t="s">
        <v>64</v>
      </c>
      <c r="Z144" s="153" t="s">
        <v>64</v>
      </c>
      <c r="AA144" s="573">
        <v>143</v>
      </c>
    </row>
    <row r="145" spans="2:27" ht="15">
      <c r="B145" s="139" t="str">
        <f>IF(Configurator!$T$5="5","-462","-463")</f>
        <v>-462</v>
      </c>
      <c r="C145" s="139" t="str">
        <f>IF(Configurator!$T$5="5","-462","-463")</f>
        <v>-462</v>
      </c>
      <c r="D145" s="136" t="s">
        <v>871</v>
      </c>
      <c r="E145" s="136" t="s">
        <v>871</v>
      </c>
      <c r="F145" s="136" t="s">
        <v>871</v>
      </c>
      <c r="G145" s="136" t="s">
        <v>871</v>
      </c>
      <c r="H145" s="136" t="s">
        <v>871</v>
      </c>
      <c r="I145" s="153" t="s">
        <v>871</v>
      </c>
      <c r="J145" s="153" t="s">
        <v>871</v>
      </c>
      <c r="K145" s="153" t="s">
        <v>871</v>
      </c>
      <c r="L145" s="153" t="s">
        <v>871</v>
      </c>
      <c r="M145" s="153" t="s">
        <v>871</v>
      </c>
      <c r="N145" s="136" t="s">
        <v>871</v>
      </c>
      <c r="O145" s="136" t="s">
        <v>871</v>
      </c>
      <c r="P145" s="153" t="s">
        <v>871</v>
      </c>
      <c r="Q145" s="153" t="s">
        <v>871</v>
      </c>
      <c r="R145" s="153" t="s">
        <v>871</v>
      </c>
      <c r="S145" s="153" t="s">
        <v>871</v>
      </c>
      <c r="T145" s="153" t="s">
        <v>871</v>
      </c>
      <c r="U145" s="153" t="s">
        <v>871</v>
      </c>
      <c r="V145" s="153" t="s">
        <v>871</v>
      </c>
      <c r="W145" s="153" t="s">
        <v>871</v>
      </c>
      <c r="X145" s="153" t="s">
        <v>871</v>
      </c>
      <c r="Y145" s="153" t="s">
        <v>871</v>
      </c>
      <c r="Z145" s="153" t="s">
        <v>871</v>
      </c>
      <c r="AA145" s="573">
        <v>144</v>
      </c>
    </row>
    <row r="146" spans="1:27" ht="15">
      <c r="A146" s="147"/>
      <c r="B146" s="230" t="str">
        <f>IF(Configurator!$T$5="5","-462","-464")</f>
        <v>-462</v>
      </c>
      <c r="C146" s="230" t="str">
        <f>IF(Configurator!$T$5="5","-462","-464")</f>
        <v>-462</v>
      </c>
      <c r="D146" s="145" t="s">
        <v>872</v>
      </c>
      <c r="E146" s="145" t="s">
        <v>872</v>
      </c>
      <c r="F146" s="145" t="s">
        <v>872</v>
      </c>
      <c r="G146" s="145" t="s">
        <v>872</v>
      </c>
      <c r="H146" s="145" t="s">
        <v>872</v>
      </c>
      <c r="I146" s="236" t="s">
        <v>872</v>
      </c>
      <c r="J146" s="236" t="s">
        <v>872</v>
      </c>
      <c r="K146" s="236" t="s">
        <v>872</v>
      </c>
      <c r="L146" s="236" t="s">
        <v>872</v>
      </c>
      <c r="M146" s="236" t="s">
        <v>872</v>
      </c>
      <c r="N146" s="145" t="s">
        <v>872</v>
      </c>
      <c r="O146" s="145" t="s">
        <v>872</v>
      </c>
      <c r="P146" s="236" t="s">
        <v>872</v>
      </c>
      <c r="Q146" s="236" t="s">
        <v>872</v>
      </c>
      <c r="R146" s="236" t="s">
        <v>872</v>
      </c>
      <c r="S146" s="236" t="s">
        <v>872</v>
      </c>
      <c r="T146" s="236" t="s">
        <v>872</v>
      </c>
      <c r="U146" s="236" t="s">
        <v>872</v>
      </c>
      <c r="V146" s="236" t="s">
        <v>872</v>
      </c>
      <c r="W146" s="236" t="s">
        <v>872</v>
      </c>
      <c r="X146" s="236" t="s">
        <v>872</v>
      </c>
      <c r="Y146" s="236" t="s">
        <v>872</v>
      </c>
      <c r="Z146" s="236" t="s">
        <v>872</v>
      </c>
      <c r="AA146" s="573">
        <v>145</v>
      </c>
    </row>
    <row r="147" spans="1:27" ht="15">
      <c r="A147" s="148" t="s">
        <v>82</v>
      </c>
      <c r="B147" s="217" t="s">
        <v>1347</v>
      </c>
      <c r="C147" s="217" t="s">
        <v>1347</v>
      </c>
      <c r="D147" s="217" t="s">
        <v>1347</v>
      </c>
      <c r="E147" s="217" t="s">
        <v>1347</v>
      </c>
      <c r="F147" s="217" t="s">
        <v>1347</v>
      </c>
      <c r="G147" s="217" t="s">
        <v>1347</v>
      </c>
      <c r="H147" s="217" t="s">
        <v>1347</v>
      </c>
      <c r="I147" s="217" t="s">
        <v>1347</v>
      </c>
      <c r="J147" s="217" t="s">
        <v>1347</v>
      </c>
      <c r="K147" s="217" t="s">
        <v>1347</v>
      </c>
      <c r="L147" s="217" t="s">
        <v>1347</v>
      </c>
      <c r="M147" s="217" t="s">
        <v>1347</v>
      </c>
      <c r="N147" s="217" t="s">
        <v>1347</v>
      </c>
      <c r="O147" s="217" t="s">
        <v>1347</v>
      </c>
      <c r="P147" s="217" t="s">
        <v>1347</v>
      </c>
      <c r="Q147" s="217" t="s">
        <v>1347</v>
      </c>
      <c r="R147" s="217" t="s">
        <v>1347</v>
      </c>
      <c r="S147" s="217" t="s">
        <v>1347</v>
      </c>
      <c r="T147" s="217" t="s">
        <v>1347</v>
      </c>
      <c r="U147" s="217" t="s">
        <v>1347</v>
      </c>
      <c r="V147" s="217" t="s">
        <v>1347</v>
      </c>
      <c r="W147" s="217" t="s">
        <v>1347</v>
      </c>
      <c r="X147" s="217" t="s">
        <v>1347</v>
      </c>
      <c r="Y147" s="217" t="s">
        <v>1347</v>
      </c>
      <c r="Z147" s="217" t="s">
        <v>1347</v>
      </c>
      <c r="AA147" s="573">
        <v>146</v>
      </c>
    </row>
    <row r="148" spans="2:27" ht="15">
      <c r="B148" s="217" t="s">
        <v>1344</v>
      </c>
      <c r="C148" s="217" t="s">
        <v>1344</v>
      </c>
      <c r="D148" s="217" t="s">
        <v>1344</v>
      </c>
      <c r="E148" s="217" t="s">
        <v>1344</v>
      </c>
      <c r="F148" s="217" t="s">
        <v>1344</v>
      </c>
      <c r="G148" s="217" t="s">
        <v>1344</v>
      </c>
      <c r="H148" s="217" t="s">
        <v>1344</v>
      </c>
      <c r="I148" s="217" t="s">
        <v>1344</v>
      </c>
      <c r="J148" s="217" t="s">
        <v>1344</v>
      </c>
      <c r="K148" s="217" t="s">
        <v>1344</v>
      </c>
      <c r="L148" s="217" t="s">
        <v>1344</v>
      </c>
      <c r="M148" s="217" t="s">
        <v>1344</v>
      </c>
      <c r="N148" s="217" t="s">
        <v>1344</v>
      </c>
      <c r="O148" s="217" t="s">
        <v>1344</v>
      </c>
      <c r="P148" s="217" t="s">
        <v>1344</v>
      </c>
      <c r="Q148" s="217" t="s">
        <v>1344</v>
      </c>
      <c r="R148" s="217" t="s">
        <v>1344</v>
      </c>
      <c r="S148" s="217" t="s">
        <v>1344</v>
      </c>
      <c r="T148" s="217" t="s">
        <v>1344</v>
      </c>
      <c r="U148" s="217" t="s">
        <v>1344</v>
      </c>
      <c r="V148" s="217" t="s">
        <v>1344</v>
      </c>
      <c r="W148" s="217" t="s">
        <v>1344</v>
      </c>
      <c r="X148" s="217" t="s">
        <v>1344</v>
      </c>
      <c r="Y148" s="217" t="s">
        <v>1344</v>
      </c>
      <c r="Z148" s="217" t="s">
        <v>1344</v>
      </c>
      <c r="AA148" s="573">
        <v>147</v>
      </c>
    </row>
    <row r="149" spans="2:27" ht="15">
      <c r="B149" s="217" t="s">
        <v>1211</v>
      </c>
      <c r="C149" s="217" t="s">
        <v>1211</v>
      </c>
      <c r="D149" s="217" t="s">
        <v>1211</v>
      </c>
      <c r="E149" s="217" t="s">
        <v>1211</v>
      </c>
      <c r="F149" s="217" t="s">
        <v>1211</v>
      </c>
      <c r="G149" s="217" t="s">
        <v>1211</v>
      </c>
      <c r="H149" s="217" t="s">
        <v>1211</v>
      </c>
      <c r="I149" s="217" t="s">
        <v>1211</v>
      </c>
      <c r="J149" s="217" t="s">
        <v>1211</v>
      </c>
      <c r="K149" s="217" t="s">
        <v>1211</v>
      </c>
      <c r="L149" s="217" t="s">
        <v>1211</v>
      </c>
      <c r="M149" s="217" t="s">
        <v>1211</v>
      </c>
      <c r="N149" s="217" t="s">
        <v>1211</v>
      </c>
      <c r="O149" s="217" t="s">
        <v>1211</v>
      </c>
      <c r="P149" s="217" t="s">
        <v>1211</v>
      </c>
      <c r="Q149" s="217" t="s">
        <v>1211</v>
      </c>
      <c r="R149" s="217" t="s">
        <v>1211</v>
      </c>
      <c r="S149" s="217" t="s">
        <v>1211</v>
      </c>
      <c r="T149" s="217" t="s">
        <v>1211</v>
      </c>
      <c r="U149" s="217" t="s">
        <v>1211</v>
      </c>
      <c r="V149" s="217" t="s">
        <v>1211</v>
      </c>
      <c r="W149" s="217" t="s">
        <v>1211</v>
      </c>
      <c r="X149" s="217" t="s">
        <v>1211</v>
      </c>
      <c r="Y149" s="217" t="s">
        <v>1211</v>
      </c>
      <c r="Z149" s="217" t="s">
        <v>1211</v>
      </c>
      <c r="AA149" s="573">
        <v>148</v>
      </c>
    </row>
    <row r="150" spans="2:27" ht="15">
      <c r="B150" s="217" t="s">
        <v>1343</v>
      </c>
      <c r="C150" s="217" t="s">
        <v>1343</v>
      </c>
      <c r="D150" s="217" t="s">
        <v>1343</v>
      </c>
      <c r="E150" s="217" t="s">
        <v>1343</v>
      </c>
      <c r="F150" s="217" t="s">
        <v>1343</v>
      </c>
      <c r="G150" s="217" t="s">
        <v>1343</v>
      </c>
      <c r="H150" s="217" t="s">
        <v>1343</v>
      </c>
      <c r="I150" s="217" t="s">
        <v>1343</v>
      </c>
      <c r="J150" s="217" t="s">
        <v>1343</v>
      </c>
      <c r="K150" s="217" t="s">
        <v>1343</v>
      </c>
      <c r="L150" s="217" t="s">
        <v>1343</v>
      </c>
      <c r="M150" s="217" t="s">
        <v>1343</v>
      </c>
      <c r="N150" s="217" t="s">
        <v>1343</v>
      </c>
      <c r="O150" s="217" t="s">
        <v>1343</v>
      </c>
      <c r="P150" s="217" t="s">
        <v>1343</v>
      </c>
      <c r="Q150" s="217" t="s">
        <v>1343</v>
      </c>
      <c r="R150" s="217" t="s">
        <v>1343</v>
      </c>
      <c r="S150" s="217" t="s">
        <v>1343</v>
      </c>
      <c r="T150" s="217" t="s">
        <v>1343</v>
      </c>
      <c r="U150" s="217" t="s">
        <v>1343</v>
      </c>
      <c r="V150" s="217" t="s">
        <v>1343</v>
      </c>
      <c r="W150" s="217" t="s">
        <v>1343</v>
      </c>
      <c r="X150" s="217" t="s">
        <v>1343</v>
      </c>
      <c r="Y150" s="217" t="s">
        <v>1343</v>
      </c>
      <c r="Z150" s="217" t="s">
        <v>1343</v>
      </c>
      <c r="AA150" s="573">
        <v>149</v>
      </c>
    </row>
    <row r="151" spans="2:27" ht="15">
      <c r="B151" s="217" t="s">
        <v>1464</v>
      </c>
      <c r="C151" s="217" t="s">
        <v>1464</v>
      </c>
      <c r="D151" s="217" t="s">
        <v>1464</v>
      </c>
      <c r="E151" s="217" t="s">
        <v>1464</v>
      </c>
      <c r="F151" s="217" t="s">
        <v>1464</v>
      </c>
      <c r="G151" s="217" t="s">
        <v>1464</v>
      </c>
      <c r="H151" s="217" t="s">
        <v>1464</v>
      </c>
      <c r="I151" s="217" t="s">
        <v>1464</v>
      </c>
      <c r="J151" s="217" t="s">
        <v>1464</v>
      </c>
      <c r="K151" s="217" t="s">
        <v>1464</v>
      </c>
      <c r="L151" s="217" t="s">
        <v>1464</v>
      </c>
      <c r="M151" s="217" t="s">
        <v>1464</v>
      </c>
      <c r="N151" s="217" t="s">
        <v>1464</v>
      </c>
      <c r="O151" s="217" t="s">
        <v>1464</v>
      </c>
      <c r="P151" s="217" t="s">
        <v>1464</v>
      </c>
      <c r="Q151" s="217" t="s">
        <v>1464</v>
      </c>
      <c r="R151" s="217" t="s">
        <v>1464</v>
      </c>
      <c r="S151" s="217" t="s">
        <v>1464</v>
      </c>
      <c r="T151" s="217" t="s">
        <v>1464</v>
      </c>
      <c r="U151" s="217" t="s">
        <v>1464</v>
      </c>
      <c r="V151" s="217" t="s">
        <v>1464</v>
      </c>
      <c r="W151" s="217" t="s">
        <v>1464</v>
      </c>
      <c r="X151" s="217" t="s">
        <v>1464</v>
      </c>
      <c r="Y151" s="217" t="s">
        <v>1464</v>
      </c>
      <c r="Z151" s="217" t="s">
        <v>1464</v>
      </c>
      <c r="AA151" s="573">
        <v>150</v>
      </c>
    </row>
    <row r="152" spans="2:27" ht="15">
      <c r="B152" s="136" t="s">
        <v>874</v>
      </c>
      <c r="C152" s="136" t="s">
        <v>874</v>
      </c>
      <c r="D152" s="136" t="s">
        <v>874</v>
      </c>
      <c r="E152" s="136" t="s">
        <v>874</v>
      </c>
      <c r="F152" s="136" t="s">
        <v>874</v>
      </c>
      <c r="G152" s="136" t="s">
        <v>874</v>
      </c>
      <c r="H152" s="136" t="s">
        <v>874</v>
      </c>
      <c r="I152" s="153" t="s">
        <v>874</v>
      </c>
      <c r="J152" s="153" t="s">
        <v>874</v>
      </c>
      <c r="K152" s="153" t="s">
        <v>874</v>
      </c>
      <c r="L152" s="153" t="s">
        <v>874</v>
      </c>
      <c r="M152" s="153" t="s">
        <v>874</v>
      </c>
      <c r="N152" s="136" t="s">
        <v>874</v>
      </c>
      <c r="O152" s="136" t="s">
        <v>874</v>
      </c>
      <c r="P152" s="153" t="s">
        <v>874</v>
      </c>
      <c r="Q152" s="153" t="s">
        <v>874</v>
      </c>
      <c r="R152" s="153" t="s">
        <v>874</v>
      </c>
      <c r="S152" s="153" t="s">
        <v>874</v>
      </c>
      <c r="T152" s="153" t="s">
        <v>874</v>
      </c>
      <c r="U152" s="153" t="s">
        <v>874</v>
      </c>
      <c r="V152" s="153" t="s">
        <v>874</v>
      </c>
      <c r="W152" s="153" t="s">
        <v>874</v>
      </c>
      <c r="X152" s="153" t="s">
        <v>874</v>
      </c>
      <c r="Y152" s="153" t="s">
        <v>874</v>
      </c>
      <c r="Z152" s="153" t="s">
        <v>874</v>
      </c>
      <c r="AA152" s="573">
        <v>151</v>
      </c>
    </row>
    <row r="153" spans="2:27" ht="15">
      <c r="B153" s="136" t="s">
        <v>875</v>
      </c>
      <c r="C153" s="136" t="s">
        <v>875</v>
      </c>
      <c r="D153" s="136" t="s">
        <v>875</v>
      </c>
      <c r="E153" s="136" t="s">
        <v>875</v>
      </c>
      <c r="F153" s="136" t="s">
        <v>875</v>
      </c>
      <c r="G153" s="136" t="s">
        <v>875</v>
      </c>
      <c r="H153" s="136" t="s">
        <v>875</v>
      </c>
      <c r="I153" s="153" t="s">
        <v>875</v>
      </c>
      <c r="J153" s="153" t="s">
        <v>875</v>
      </c>
      <c r="K153" s="153" t="s">
        <v>875</v>
      </c>
      <c r="L153" s="153" t="s">
        <v>875</v>
      </c>
      <c r="M153" s="153" t="s">
        <v>875</v>
      </c>
      <c r="N153" s="136" t="s">
        <v>875</v>
      </c>
      <c r="O153" s="136" t="s">
        <v>875</v>
      </c>
      <c r="P153" s="153" t="s">
        <v>875</v>
      </c>
      <c r="Q153" s="153" t="s">
        <v>875</v>
      </c>
      <c r="R153" s="153" t="s">
        <v>875</v>
      </c>
      <c r="S153" s="153" t="s">
        <v>875</v>
      </c>
      <c r="T153" s="153" t="s">
        <v>875</v>
      </c>
      <c r="U153" s="153" t="s">
        <v>875</v>
      </c>
      <c r="V153" s="153" t="s">
        <v>875</v>
      </c>
      <c r="W153" s="153" t="s">
        <v>875</v>
      </c>
      <c r="X153" s="153" t="s">
        <v>875</v>
      </c>
      <c r="Y153" s="153" t="s">
        <v>875</v>
      </c>
      <c r="Z153" s="153" t="s">
        <v>875</v>
      </c>
      <c r="AA153" s="573">
        <v>152</v>
      </c>
    </row>
    <row r="154" spans="2:27" ht="15">
      <c r="B154" s="136" t="s">
        <v>876</v>
      </c>
      <c r="C154" s="136" t="s">
        <v>876</v>
      </c>
      <c r="D154" s="136" t="s">
        <v>876</v>
      </c>
      <c r="E154" s="136" t="s">
        <v>876</v>
      </c>
      <c r="F154" s="136" t="s">
        <v>876</v>
      </c>
      <c r="G154" s="136" t="s">
        <v>876</v>
      </c>
      <c r="H154" s="136" t="s">
        <v>876</v>
      </c>
      <c r="I154" s="153" t="s">
        <v>876</v>
      </c>
      <c r="J154" s="153" t="s">
        <v>876</v>
      </c>
      <c r="K154" s="153" t="s">
        <v>876</v>
      </c>
      <c r="L154" s="153" t="s">
        <v>876</v>
      </c>
      <c r="M154" s="153" t="s">
        <v>876</v>
      </c>
      <c r="N154" s="136" t="s">
        <v>876</v>
      </c>
      <c r="O154" s="136" t="s">
        <v>876</v>
      </c>
      <c r="P154" s="153" t="s">
        <v>876</v>
      </c>
      <c r="Q154" s="153" t="s">
        <v>876</v>
      </c>
      <c r="R154" s="153" t="s">
        <v>876</v>
      </c>
      <c r="S154" s="153" t="s">
        <v>876</v>
      </c>
      <c r="T154" s="153" t="s">
        <v>876</v>
      </c>
      <c r="U154" s="153" t="s">
        <v>876</v>
      </c>
      <c r="V154" s="153" t="s">
        <v>876</v>
      </c>
      <c r="W154" s="153" t="s">
        <v>876</v>
      </c>
      <c r="X154" s="153" t="s">
        <v>876</v>
      </c>
      <c r="Y154" s="153" t="s">
        <v>876</v>
      </c>
      <c r="Z154" s="153" t="s">
        <v>876</v>
      </c>
      <c r="AA154" s="573">
        <v>153</v>
      </c>
    </row>
    <row r="155" spans="2:27" ht="15">
      <c r="B155" s="136" t="s">
        <v>877</v>
      </c>
      <c r="C155" s="136" t="s">
        <v>877</v>
      </c>
      <c r="D155" s="136" t="s">
        <v>877</v>
      </c>
      <c r="E155" s="136" t="s">
        <v>877</v>
      </c>
      <c r="F155" s="136" t="s">
        <v>877</v>
      </c>
      <c r="G155" s="136" t="s">
        <v>877</v>
      </c>
      <c r="H155" s="136" t="s">
        <v>877</v>
      </c>
      <c r="I155" s="153" t="s">
        <v>877</v>
      </c>
      <c r="J155" s="153" t="s">
        <v>877</v>
      </c>
      <c r="K155" s="153" t="s">
        <v>877</v>
      </c>
      <c r="L155" s="153" t="s">
        <v>877</v>
      </c>
      <c r="M155" s="153" t="s">
        <v>877</v>
      </c>
      <c r="N155" s="136" t="s">
        <v>877</v>
      </c>
      <c r="O155" s="136" t="s">
        <v>877</v>
      </c>
      <c r="P155" s="153" t="s">
        <v>877</v>
      </c>
      <c r="Q155" s="153" t="s">
        <v>877</v>
      </c>
      <c r="R155" s="153" t="s">
        <v>877</v>
      </c>
      <c r="S155" s="153" t="s">
        <v>877</v>
      </c>
      <c r="T155" s="153" t="s">
        <v>877</v>
      </c>
      <c r="U155" s="153" t="s">
        <v>877</v>
      </c>
      <c r="V155" s="153" t="s">
        <v>877</v>
      </c>
      <c r="W155" s="153" t="s">
        <v>877</v>
      </c>
      <c r="X155" s="153" t="s">
        <v>877</v>
      </c>
      <c r="Y155" s="153" t="s">
        <v>877</v>
      </c>
      <c r="Z155" s="153" t="s">
        <v>877</v>
      </c>
      <c r="AA155" s="573">
        <v>154</v>
      </c>
    </row>
    <row r="156" spans="1:27" ht="15">
      <c r="A156" s="147"/>
      <c r="B156" s="136" t="s">
        <v>878</v>
      </c>
      <c r="C156" s="136" t="s">
        <v>878</v>
      </c>
      <c r="D156" s="136" t="s">
        <v>878</v>
      </c>
      <c r="E156" s="136" t="s">
        <v>878</v>
      </c>
      <c r="F156" s="136" t="s">
        <v>878</v>
      </c>
      <c r="G156" s="136" t="s">
        <v>878</v>
      </c>
      <c r="H156" s="136" t="s">
        <v>878</v>
      </c>
      <c r="I156" s="153" t="s">
        <v>878</v>
      </c>
      <c r="J156" s="153" t="s">
        <v>878</v>
      </c>
      <c r="K156" s="153" t="s">
        <v>878</v>
      </c>
      <c r="L156" s="153" t="s">
        <v>878</v>
      </c>
      <c r="M156" s="153" t="s">
        <v>878</v>
      </c>
      <c r="N156" s="136" t="s">
        <v>878</v>
      </c>
      <c r="O156" s="136" t="s">
        <v>878</v>
      </c>
      <c r="P156" s="153" t="s">
        <v>878</v>
      </c>
      <c r="Q156" s="153" t="s">
        <v>878</v>
      </c>
      <c r="R156" s="153" t="s">
        <v>878</v>
      </c>
      <c r="S156" s="153" t="s">
        <v>878</v>
      </c>
      <c r="T156" s="153" t="s">
        <v>878</v>
      </c>
      <c r="U156" s="153" t="s">
        <v>878</v>
      </c>
      <c r="V156" s="153" t="s">
        <v>878</v>
      </c>
      <c r="W156" s="153" t="s">
        <v>878</v>
      </c>
      <c r="X156" s="153" t="s">
        <v>878</v>
      </c>
      <c r="Y156" s="153" t="s">
        <v>878</v>
      </c>
      <c r="Z156" s="153" t="s">
        <v>878</v>
      </c>
      <c r="AA156" s="573">
        <v>155</v>
      </c>
    </row>
    <row r="157" spans="1:27" ht="15">
      <c r="A157" s="130" t="s">
        <v>83</v>
      </c>
      <c r="B157" s="149" t="s">
        <v>1073</v>
      </c>
      <c r="C157" s="149" t="s">
        <v>1073</v>
      </c>
      <c r="D157" s="149" t="s">
        <v>1073</v>
      </c>
      <c r="E157" s="149" t="s">
        <v>1073</v>
      </c>
      <c r="F157" s="149" t="s">
        <v>1073</v>
      </c>
      <c r="G157" s="149" t="s">
        <v>1073</v>
      </c>
      <c r="H157" s="149" t="s">
        <v>1073</v>
      </c>
      <c r="I157" s="149" t="s">
        <v>1073</v>
      </c>
      <c r="J157" s="149" t="s">
        <v>1073</v>
      </c>
      <c r="K157" s="149" t="s">
        <v>1073</v>
      </c>
      <c r="L157" s="149" t="s">
        <v>1073</v>
      </c>
      <c r="M157" s="149" t="s">
        <v>1073</v>
      </c>
      <c r="N157" s="149" t="s">
        <v>1073</v>
      </c>
      <c r="O157" s="149" t="s">
        <v>1073</v>
      </c>
      <c r="P157" s="149" t="s">
        <v>1073</v>
      </c>
      <c r="Q157" s="149" t="s">
        <v>1073</v>
      </c>
      <c r="R157" s="149" t="s">
        <v>1073</v>
      </c>
      <c r="S157" s="149" t="s">
        <v>1073</v>
      </c>
      <c r="T157" s="149" t="s">
        <v>1073</v>
      </c>
      <c r="U157" s="149" t="s">
        <v>1073</v>
      </c>
      <c r="V157" s="149" t="s">
        <v>1073</v>
      </c>
      <c r="W157" s="149" t="s">
        <v>1073</v>
      </c>
      <c r="X157" s="149" t="s">
        <v>1073</v>
      </c>
      <c r="Y157" s="149" t="s">
        <v>1073</v>
      </c>
      <c r="Z157" s="149" t="s">
        <v>1073</v>
      </c>
      <c r="AA157" s="573">
        <v>156</v>
      </c>
    </row>
    <row r="158" spans="1:27" ht="15">
      <c r="A158" s="140"/>
      <c r="B158" s="150" t="s">
        <v>1073</v>
      </c>
      <c r="C158" s="150" t="s">
        <v>1073</v>
      </c>
      <c r="D158" s="150" t="s">
        <v>1073</v>
      </c>
      <c r="E158" s="150" t="s">
        <v>1073</v>
      </c>
      <c r="F158" s="150" t="s">
        <v>1073</v>
      </c>
      <c r="G158" s="150" t="s">
        <v>1073</v>
      </c>
      <c r="H158" s="150" t="s">
        <v>1073</v>
      </c>
      <c r="I158" s="150" t="s">
        <v>1073</v>
      </c>
      <c r="J158" s="150" t="s">
        <v>1073</v>
      </c>
      <c r="K158" s="150" t="s">
        <v>1073</v>
      </c>
      <c r="L158" s="150" t="s">
        <v>1073</v>
      </c>
      <c r="M158" s="150" t="s">
        <v>1073</v>
      </c>
      <c r="N158" s="150" t="s">
        <v>1073</v>
      </c>
      <c r="O158" s="150" t="s">
        <v>1073</v>
      </c>
      <c r="P158" s="150" t="s">
        <v>1073</v>
      </c>
      <c r="Q158" s="150" t="s">
        <v>1073</v>
      </c>
      <c r="R158" s="150" t="s">
        <v>1073</v>
      </c>
      <c r="S158" s="150" t="s">
        <v>1073</v>
      </c>
      <c r="T158" s="150" t="s">
        <v>1073</v>
      </c>
      <c r="U158" s="150" t="s">
        <v>1073</v>
      </c>
      <c r="V158" s="150" t="s">
        <v>1073</v>
      </c>
      <c r="W158" s="150" t="s">
        <v>1073</v>
      </c>
      <c r="X158" s="150" t="s">
        <v>1073</v>
      </c>
      <c r="Y158" s="150" t="s">
        <v>1073</v>
      </c>
      <c r="Z158" s="150" t="s">
        <v>1073</v>
      </c>
      <c r="AA158" s="573">
        <v>157</v>
      </c>
    </row>
    <row r="159" spans="1:27" ht="15">
      <c r="A159" s="140"/>
      <c r="B159" s="150" t="s">
        <v>1073</v>
      </c>
      <c r="C159" s="150" t="s">
        <v>1073</v>
      </c>
      <c r="D159" s="150" t="s">
        <v>1073</v>
      </c>
      <c r="E159" s="150" t="s">
        <v>1073</v>
      </c>
      <c r="F159" s="150" t="s">
        <v>1073</v>
      </c>
      <c r="G159" s="150" t="s">
        <v>1073</v>
      </c>
      <c r="H159" s="150" t="s">
        <v>1073</v>
      </c>
      <c r="I159" s="150" t="s">
        <v>1073</v>
      </c>
      <c r="J159" s="150" t="s">
        <v>1073</v>
      </c>
      <c r="K159" s="150" t="s">
        <v>1073</v>
      </c>
      <c r="L159" s="150" t="s">
        <v>1073</v>
      </c>
      <c r="M159" s="150" t="s">
        <v>1073</v>
      </c>
      <c r="N159" s="150" t="s">
        <v>1073</v>
      </c>
      <c r="O159" s="150" t="s">
        <v>1073</v>
      </c>
      <c r="P159" s="150" t="s">
        <v>1073</v>
      </c>
      <c r="Q159" s="150" t="s">
        <v>1073</v>
      </c>
      <c r="R159" s="150" t="s">
        <v>1073</v>
      </c>
      <c r="S159" s="150" t="s">
        <v>1073</v>
      </c>
      <c r="T159" s="150" t="s">
        <v>1073</v>
      </c>
      <c r="U159" s="150" t="s">
        <v>1073</v>
      </c>
      <c r="V159" s="150" t="s">
        <v>1073</v>
      </c>
      <c r="W159" s="150" t="s">
        <v>1073</v>
      </c>
      <c r="X159" s="150" t="s">
        <v>1073</v>
      </c>
      <c r="Y159" s="150" t="s">
        <v>1073</v>
      </c>
      <c r="Z159" s="150" t="s">
        <v>1073</v>
      </c>
      <c r="AA159" s="573">
        <v>158</v>
      </c>
    </row>
    <row r="160" spans="1:27" ht="15">
      <c r="A160" s="140"/>
      <c r="B160" s="150" t="s">
        <v>66</v>
      </c>
      <c r="C160" s="150" t="s">
        <v>66</v>
      </c>
      <c r="D160" s="150" t="s">
        <v>66</v>
      </c>
      <c r="E160" s="150" t="s">
        <v>66</v>
      </c>
      <c r="F160" s="150" t="s">
        <v>66</v>
      </c>
      <c r="G160" s="150" t="s">
        <v>66</v>
      </c>
      <c r="H160" s="150" t="s">
        <v>66</v>
      </c>
      <c r="I160" s="150" t="s">
        <v>66</v>
      </c>
      <c r="J160" s="150" t="s">
        <v>66</v>
      </c>
      <c r="K160" s="150" t="s">
        <v>66</v>
      </c>
      <c r="L160" s="150" t="s">
        <v>66</v>
      </c>
      <c r="M160" s="150" t="s">
        <v>66</v>
      </c>
      <c r="N160" s="150" t="s">
        <v>66</v>
      </c>
      <c r="O160" s="150" t="s">
        <v>66</v>
      </c>
      <c r="P160" s="150" t="s">
        <v>66</v>
      </c>
      <c r="Q160" s="150" t="s">
        <v>66</v>
      </c>
      <c r="R160" s="150" t="s">
        <v>66</v>
      </c>
      <c r="S160" s="150" t="s">
        <v>66</v>
      </c>
      <c r="T160" s="150" t="s">
        <v>66</v>
      </c>
      <c r="U160" s="150" t="s">
        <v>66</v>
      </c>
      <c r="V160" s="150" t="s">
        <v>66</v>
      </c>
      <c r="W160" s="150" t="s">
        <v>66</v>
      </c>
      <c r="X160" s="150" t="s">
        <v>66</v>
      </c>
      <c r="Y160" s="150" t="s">
        <v>66</v>
      </c>
      <c r="Z160" s="150" t="s">
        <v>66</v>
      </c>
      <c r="AA160" s="573">
        <v>159</v>
      </c>
    </row>
    <row r="161" spans="1:27" ht="15">
      <c r="A161" s="140"/>
      <c r="B161" s="150" t="s">
        <v>67</v>
      </c>
      <c r="C161" s="150" t="s">
        <v>67</v>
      </c>
      <c r="D161" s="150" t="s">
        <v>67</v>
      </c>
      <c r="E161" s="150" t="s">
        <v>67</v>
      </c>
      <c r="F161" s="150" t="s">
        <v>67</v>
      </c>
      <c r="G161" s="150" t="s">
        <v>67</v>
      </c>
      <c r="H161" s="150" t="s">
        <v>67</v>
      </c>
      <c r="I161" s="150" t="s">
        <v>67</v>
      </c>
      <c r="J161" s="150" t="s">
        <v>67</v>
      </c>
      <c r="K161" s="150" t="s">
        <v>67</v>
      </c>
      <c r="L161" s="150" t="s">
        <v>67</v>
      </c>
      <c r="M161" s="150" t="s">
        <v>67</v>
      </c>
      <c r="N161" s="150" t="s">
        <v>67</v>
      </c>
      <c r="O161" s="150" t="s">
        <v>67</v>
      </c>
      <c r="P161" s="150" t="s">
        <v>67</v>
      </c>
      <c r="Q161" s="150" t="s">
        <v>67</v>
      </c>
      <c r="R161" s="150" t="s">
        <v>67</v>
      </c>
      <c r="S161" s="150" t="s">
        <v>67</v>
      </c>
      <c r="T161" s="150" t="s">
        <v>67</v>
      </c>
      <c r="U161" s="150" t="s">
        <v>67</v>
      </c>
      <c r="V161" s="150" t="s">
        <v>67</v>
      </c>
      <c r="W161" s="150" t="s">
        <v>67</v>
      </c>
      <c r="X161" s="150" t="s">
        <v>67</v>
      </c>
      <c r="Y161" s="150" t="s">
        <v>67</v>
      </c>
      <c r="Z161" s="150" t="s">
        <v>67</v>
      </c>
      <c r="AA161" s="573">
        <v>160</v>
      </c>
    </row>
    <row r="162" spans="1:27" s="154" customFormat="1" ht="15">
      <c r="A162" s="140"/>
      <c r="B162" s="150" t="s">
        <v>68</v>
      </c>
      <c r="C162" s="150" t="s">
        <v>68</v>
      </c>
      <c r="D162" s="150" t="s">
        <v>68</v>
      </c>
      <c r="E162" s="150" t="s">
        <v>68</v>
      </c>
      <c r="F162" s="150" t="s">
        <v>68</v>
      </c>
      <c r="G162" s="150" t="s">
        <v>68</v>
      </c>
      <c r="H162" s="150" t="s">
        <v>68</v>
      </c>
      <c r="I162" s="150" t="s">
        <v>68</v>
      </c>
      <c r="J162" s="150" t="s">
        <v>68</v>
      </c>
      <c r="K162" s="150" t="s">
        <v>68</v>
      </c>
      <c r="L162" s="150" t="s">
        <v>68</v>
      </c>
      <c r="M162" s="150" t="s">
        <v>68</v>
      </c>
      <c r="N162" s="150" t="s">
        <v>68</v>
      </c>
      <c r="O162" s="150" t="s">
        <v>68</v>
      </c>
      <c r="P162" s="150" t="s">
        <v>68</v>
      </c>
      <c r="Q162" s="150" t="s">
        <v>68</v>
      </c>
      <c r="R162" s="150" t="s">
        <v>68</v>
      </c>
      <c r="S162" s="150" t="s">
        <v>68</v>
      </c>
      <c r="T162" s="150" t="s">
        <v>68</v>
      </c>
      <c r="U162" s="150" t="s">
        <v>68</v>
      </c>
      <c r="V162" s="150" t="s">
        <v>68</v>
      </c>
      <c r="W162" s="150" t="s">
        <v>68</v>
      </c>
      <c r="X162" s="150" t="s">
        <v>68</v>
      </c>
      <c r="Y162" s="150" t="s">
        <v>68</v>
      </c>
      <c r="Z162" s="150" t="s">
        <v>68</v>
      </c>
      <c r="AA162" s="573">
        <v>161</v>
      </c>
    </row>
    <row r="163" spans="1:27" ht="15">
      <c r="A163" s="140"/>
      <c r="B163" s="225" t="str">
        <f>IF(Configurator!$T$5="5","-***","-946")</f>
        <v>-***</v>
      </c>
      <c r="C163" s="225" t="str">
        <f>IF(Configurator!$T$5="5","-***","-946")</f>
        <v>-***</v>
      </c>
      <c r="D163" s="153" t="s">
        <v>1001</v>
      </c>
      <c r="E163" s="153" t="s">
        <v>1001</v>
      </c>
      <c r="F163" s="153" t="s">
        <v>1001</v>
      </c>
      <c r="G163" s="153" t="s">
        <v>1001</v>
      </c>
      <c r="H163" s="153" t="s">
        <v>1001</v>
      </c>
      <c r="I163" s="153" t="s">
        <v>1001</v>
      </c>
      <c r="J163" s="153" t="s">
        <v>1001</v>
      </c>
      <c r="K163" s="153" t="s">
        <v>1001</v>
      </c>
      <c r="L163" s="153" t="s">
        <v>1001</v>
      </c>
      <c r="M163" s="153" t="s">
        <v>1001</v>
      </c>
      <c r="N163" s="153" t="s">
        <v>1001</v>
      </c>
      <c r="O163" s="153" t="s">
        <v>1001</v>
      </c>
      <c r="P163" s="153" t="s">
        <v>1001</v>
      </c>
      <c r="Q163" s="153" t="s">
        <v>1001</v>
      </c>
      <c r="R163" s="153" t="s">
        <v>1001</v>
      </c>
      <c r="S163" s="153" t="s">
        <v>1001</v>
      </c>
      <c r="T163" s="153" t="s">
        <v>1001</v>
      </c>
      <c r="U163" s="153" t="s">
        <v>1001</v>
      </c>
      <c r="V163" s="153" t="s">
        <v>1001</v>
      </c>
      <c r="W163" s="153" t="s">
        <v>1001</v>
      </c>
      <c r="X163" s="153" t="s">
        <v>1001</v>
      </c>
      <c r="Y163" s="153" t="s">
        <v>1001</v>
      </c>
      <c r="Z163" s="153" t="s">
        <v>1001</v>
      </c>
      <c r="AA163" s="573">
        <v>162</v>
      </c>
    </row>
    <row r="164" spans="1:27" ht="15">
      <c r="A164" s="151"/>
      <c r="B164" s="226" t="str">
        <f>IF(Configurator!$T$5="5","-***","-947")</f>
        <v>-***</v>
      </c>
      <c r="C164" s="226" t="str">
        <f>IF(Configurator!$T$5="5","-***","-947")</f>
        <v>-***</v>
      </c>
      <c r="D164" s="236" t="s">
        <v>879</v>
      </c>
      <c r="E164" s="236" t="s">
        <v>879</v>
      </c>
      <c r="F164" s="236" t="s">
        <v>879</v>
      </c>
      <c r="G164" s="236" t="s">
        <v>879</v>
      </c>
      <c r="H164" s="236" t="s">
        <v>879</v>
      </c>
      <c r="I164" s="236" t="s">
        <v>879</v>
      </c>
      <c r="J164" s="236" t="s">
        <v>879</v>
      </c>
      <c r="K164" s="236" t="s">
        <v>879</v>
      </c>
      <c r="L164" s="236" t="s">
        <v>879</v>
      </c>
      <c r="M164" s="236" t="s">
        <v>879</v>
      </c>
      <c r="N164" s="236" t="s">
        <v>879</v>
      </c>
      <c r="O164" s="236" t="s">
        <v>879</v>
      </c>
      <c r="P164" s="236" t="s">
        <v>879</v>
      </c>
      <c r="Q164" s="236" t="s">
        <v>879</v>
      </c>
      <c r="R164" s="236" t="s">
        <v>879</v>
      </c>
      <c r="S164" s="236" t="s">
        <v>879</v>
      </c>
      <c r="T164" s="236" t="s">
        <v>879</v>
      </c>
      <c r="U164" s="236" t="s">
        <v>879</v>
      </c>
      <c r="V164" s="236" t="s">
        <v>879</v>
      </c>
      <c r="W164" s="236" t="s">
        <v>879</v>
      </c>
      <c r="X164" s="236" t="s">
        <v>879</v>
      </c>
      <c r="Y164" s="236" t="s">
        <v>879</v>
      </c>
      <c r="Z164" s="236" t="s">
        <v>879</v>
      </c>
      <c r="AA164" s="573">
        <v>163</v>
      </c>
    </row>
    <row r="165" spans="1:27" ht="15">
      <c r="A165" s="140"/>
      <c r="B165" s="150">
        <v>0</v>
      </c>
      <c r="C165" s="150">
        <v>0</v>
      </c>
      <c r="D165" s="150">
        <v>0</v>
      </c>
      <c r="E165" s="150">
        <v>0</v>
      </c>
      <c r="F165" s="150">
        <v>0</v>
      </c>
      <c r="G165" s="150">
        <v>0</v>
      </c>
      <c r="H165" s="150">
        <v>0</v>
      </c>
      <c r="I165" s="150">
        <v>0</v>
      </c>
      <c r="J165" s="150">
        <v>0</v>
      </c>
      <c r="K165" s="150">
        <v>0</v>
      </c>
      <c r="L165" s="150">
        <v>0</v>
      </c>
      <c r="M165" s="150">
        <v>0</v>
      </c>
      <c r="N165" s="150">
        <v>0</v>
      </c>
      <c r="O165" s="150">
        <v>0</v>
      </c>
      <c r="P165" s="150">
        <v>0</v>
      </c>
      <c r="Q165" s="150">
        <v>0</v>
      </c>
      <c r="R165" s="150">
        <v>0</v>
      </c>
      <c r="S165" s="150">
        <v>0</v>
      </c>
      <c r="T165" s="150">
        <v>0</v>
      </c>
      <c r="U165" s="150">
        <v>0</v>
      </c>
      <c r="V165" s="150">
        <v>0</v>
      </c>
      <c r="W165" s="150">
        <v>0</v>
      </c>
      <c r="X165" s="150">
        <v>0</v>
      </c>
      <c r="Y165" s="150">
        <v>0</v>
      </c>
      <c r="Z165" s="150">
        <v>0</v>
      </c>
      <c r="AA165" s="573">
        <v>164</v>
      </c>
    </row>
    <row r="166" spans="1:27" ht="15">
      <c r="A166" s="140"/>
      <c r="B166" s="150">
        <v>0</v>
      </c>
      <c r="C166" s="150">
        <v>0</v>
      </c>
      <c r="D166" s="150">
        <v>0</v>
      </c>
      <c r="E166" s="150">
        <v>0</v>
      </c>
      <c r="F166" s="150">
        <v>0</v>
      </c>
      <c r="G166" s="150">
        <v>0</v>
      </c>
      <c r="H166" s="150">
        <v>0</v>
      </c>
      <c r="I166" s="150">
        <v>0</v>
      </c>
      <c r="J166" s="150">
        <v>0</v>
      </c>
      <c r="K166" s="150">
        <v>0</v>
      </c>
      <c r="L166" s="150">
        <v>0</v>
      </c>
      <c r="M166" s="150">
        <v>0</v>
      </c>
      <c r="N166" s="150">
        <v>0</v>
      </c>
      <c r="O166" s="150">
        <v>0</v>
      </c>
      <c r="P166" s="150">
        <v>0</v>
      </c>
      <c r="Q166" s="150">
        <v>0</v>
      </c>
      <c r="R166" s="150">
        <v>0</v>
      </c>
      <c r="S166" s="150">
        <v>0</v>
      </c>
      <c r="T166" s="150">
        <v>0</v>
      </c>
      <c r="U166" s="150">
        <v>0</v>
      </c>
      <c r="V166" s="150">
        <v>0</v>
      </c>
      <c r="W166" s="150">
        <v>0</v>
      </c>
      <c r="X166" s="150">
        <v>0</v>
      </c>
      <c r="Y166" s="150">
        <v>0</v>
      </c>
      <c r="Z166" s="150">
        <v>0</v>
      </c>
      <c r="AA166" s="573">
        <v>165</v>
      </c>
    </row>
    <row r="167" spans="1:27" ht="15">
      <c r="A167" s="140"/>
      <c r="B167" s="150">
        <v>0</v>
      </c>
      <c r="C167" s="150">
        <v>0</v>
      </c>
      <c r="D167" s="150">
        <v>0</v>
      </c>
      <c r="E167" s="150">
        <v>0</v>
      </c>
      <c r="F167" s="150">
        <v>0</v>
      </c>
      <c r="G167" s="150">
        <v>0</v>
      </c>
      <c r="H167" s="150">
        <v>0</v>
      </c>
      <c r="I167" s="150">
        <v>0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50">
        <v>0</v>
      </c>
      <c r="Q167" s="150">
        <v>0</v>
      </c>
      <c r="R167" s="150">
        <v>0</v>
      </c>
      <c r="S167" s="150">
        <v>0</v>
      </c>
      <c r="T167" s="150">
        <v>0</v>
      </c>
      <c r="U167" s="150">
        <v>0</v>
      </c>
      <c r="V167" s="150">
        <v>0</v>
      </c>
      <c r="W167" s="150">
        <v>0</v>
      </c>
      <c r="X167" s="150">
        <v>0</v>
      </c>
      <c r="Y167" s="150">
        <v>0</v>
      </c>
      <c r="Z167" s="150">
        <v>0</v>
      </c>
      <c r="AA167" s="573">
        <v>166</v>
      </c>
    </row>
    <row r="168" spans="1:27" ht="15">
      <c r="A168" s="154"/>
      <c r="B168" s="155" t="s">
        <v>1240</v>
      </c>
      <c r="C168" s="155" t="s">
        <v>1240</v>
      </c>
      <c r="D168" s="155" t="s">
        <v>1240</v>
      </c>
      <c r="E168" s="155" t="s">
        <v>1240</v>
      </c>
      <c r="F168" s="155" t="s">
        <v>1240</v>
      </c>
      <c r="G168" s="155" t="s">
        <v>1240</v>
      </c>
      <c r="H168" s="155" t="s">
        <v>1240</v>
      </c>
      <c r="I168" s="155" t="s">
        <v>1240</v>
      </c>
      <c r="J168" s="155" t="s">
        <v>1240</v>
      </c>
      <c r="K168" s="155" t="s">
        <v>1240</v>
      </c>
      <c r="L168" s="155" t="s">
        <v>1240</v>
      </c>
      <c r="M168" s="155" t="s">
        <v>1240</v>
      </c>
      <c r="N168" s="155" t="s">
        <v>1240</v>
      </c>
      <c r="O168" s="155" t="s">
        <v>1240</v>
      </c>
      <c r="P168" s="155" t="s">
        <v>1240</v>
      </c>
      <c r="Q168" s="155" t="s">
        <v>1240</v>
      </c>
      <c r="R168" s="155" t="s">
        <v>1240</v>
      </c>
      <c r="S168" s="155" t="s">
        <v>1240</v>
      </c>
      <c r="T168" s="155" t="s">
        <v>1240</v>
      </c>
      <c r="U168" s="155" t="s">
        <v>1240</v>
      </c>
      <c r="V168" s="155" t="s">
        <v>1240</v>
      </c>
      <c r="W168" s="155" t="s">
        <v>1240</v>
      </c>
      <c r="X168" s="155" t="s">
        <v>1240</v>
      </c>
      <c r="Y168" s="155" t="s">
        <v>1240</v>
      </c>
      <c r="Z168" s="155" t="s">
        <v>1240</v>
      </c>
      <c r="AA168" s="573">
        <v>167</v>
      </c>
    </row>
    <row r="169" spans="1:27" ht="13.5" customHeight="1">
      <c r="A169" s="154"/>
      <c r="B169" s="155" t="s">
        <v>16</v>
      </c>
      <c r="C169" s="155" t="s">
        <v>16</v>
      </c>
      <c r="D169" s="155" t="s">
        <v>16</v>
      </c>
      <c r="E169" s="155" t="s">
        <v>16</v>
      </c>
      <c r="F169" s="155" t="s">
        <v>16</v>
      </c>
      <c r="G169" s="155" t="s">
        <v>16</v>
      </c>
      <c r="H169" s="155" t="s">
        <v>16</v>
      </c>
      <c r="I169" s="155" t="s">
        <v>16</v>
      </c>
      <c r="J169" s="155" t="s">
        <v>16</v>
      </c>
      <c r="K169" s="155" t="s">
        <v>16</v>
      </c>
      <c r="L169" s="155" t="s">
        <v>16</v>
      </c>
      <c r="M169" s="155" t="s">
        <v>16</v>
      </c>
      <c r="N169" s="155" t="s">
        <v>16</v>
      </c>
      <c r="O169" s="155" t="s">
        <v>16</v>
      </c>
      <c r="P169" s="155" t="s">
        <v>16</v>
      </c>
      <c r="Q169" s="155" t="s">
        <v>16</v>
      </c>
      <c r="R169" s="155" t="s">
        <v>16</v>
      </c>
      <c r="S169" s="155" t="s">
        <v>16</v>
      </c>
      <c r="T169" s="155" t="s">
        <v>16</v>
      </c>
      <c r="U169" s="155" t="s">
        <v>16</v>
      </c>
      <c r="V169" s="155" t="s">
        <v>16</v>
      </c>
      <c r="W169" s="155" t="s">
        <v>16</v>
      </c>
      <c r="X169" s="155" t="s">
        <v>16</v>
      </c>
      <c r="Y169" s="155" t="s">
        <v>16</v>
      </c>
      <c r="Z169" s="155" t="s">
        <v>16</v>
      </c>
      <c r="AA169" s="573">
        <v>168</v>
      </c>
    </row>
    <row r="170" spans="1:27" s="154" customFormat="1" ht="15">
      <c r="A170" s="140"/>
      <c r="B170" s="155" t="s">
        <v>17</v>
      </c>
      <c r="C170" s="155" t="s">
        <v>17</v>
      </c>
      <c r="D170" s="155" t="s">
        <v>17</v>
      </c>
      <c r="E170" s="155" t="s">
        <v>17</v>
      </c>
      <c r="F170" s="155" t="s">
        <v>17</v>
      </c>
      <c r="G170" s="155" t="s">
        <v>17</v>
      </c>
      <c r="H170" s="155" t="s">
        <v>17</v>
      </c>
      <c r="I170" s="155" t="s">
        <v>17</v>
      </c>
      <c r="J170" s="155" t="s">
        <v>17</v>
      </c>
      <c r="K170" s="155" t="s">
        <v>17</v>
      </c>
      <c r="L170" s="155" t="s">
        <v>17</v>
      </c>
      <c r="M170" s="155" t="s">
        <v>17</v>
      </c>
      <c r="N170" s="155" t="s">
        <v>17</v>
      </c>
      <c r="O170" s="155" t="s">
        <v>17</v>
      </c>
      <c r="P170" s="155" t="s">
        <v>17</v>
      </c>
      <c r="Q170" s="155" t="s">
        <v>17</v>
      </c>
      <c r="R170" s="155" t="s">
        <v>17</v>
      </c>
      <c r="S170" s="155" t="s">
        <v>17</v>
      </c>
      <c r="T170" s="155" t="s">
        <v>17</v>
      </c>
      <c r="U170" s="155" t="s">
        <v>17</v>
      </c>
      <c r="V170" s="155" t="s">
        <v>17</v>
      </c>
      <c r="W170" s="155" t="s">
        <v>17</v>
      </c>
      <c r="X170" s="155" t="s">
        <v>17</v>
      </c>
      <c r="Y170" s="155" t="s">
        <v>17</v>
      </c>
      <c r="Z170" s="155" t="s">
        <v>17</v>
      </c>
      <c r="AA170" s="573">
        <v>169</v>
      </c>
    </row>
    <row r="171" spans="1:27" ht="13.5" customHeight="1">
      <c r="A171" s="154"/>
      <c r="B171" s="225" t="str">
        <f>IF(Configurator!$T$5="5","-***","J")</f>
        <v>-***</v>
      </c>
      <c r="C171" s="225" t="str">
        <f>IF(Configurator!$T$5="5","-***","J")</f>
        <v>-***</v>
      </c>
      <c r="D171" s="217" t="s">
        <v>39</v>
      </c>
      <c r="E171" s="217" t="s">
        <v>39</v>
      </c>
      <c r="F171" s="217" t="s">
        <v>39</v>
      </c>
      <c r="G171" s="217" t="s">
        <v>39</v>
      </c>
      <c r="H171" s="217" t="s">
        <v>39</v>
      </c>
      <c r="I171" s="217" t="s">
        <v>39</v>
      </c>
      <c r="J171" s="217" t="s">
        <v>39</v>
      </c>
      <c r="K171" s="217" t="s">
        <v>39</v>
      </c>
      <c r="L171" s="217" t="s">
        <v>39</v>
      </c>
      <c r="M171" s="217" t="s">
        <v>39</v>
      </c>
      <c r="N171" s="217" t="s">
        <v>39</v>
      </c>
      <c r="O171" s="217" t="s">
        <v>39</v>
      </c>
      <c r="P171" s="217" t="s">
        <v>39</v>
      </c>
      <c r="Q171" s="217" t="s">
        <v>39</v>
      </c>
      <c r="R171" s="217" t="s">
        <v>39</v>
      </c>
      <c r="S171" s="217" t="s">
        <v>39</v>
      </c>
      <c r="T171" s="217" t="s">
        <v>39</v>
      </c>
      <c r="U171" s="217" t="s">
        <v>39</v>
      </c>
      <c r="V171" s="217" t="s">
        <v>39</v>
      </c>
      <c r="W171" s="217" t="s">
        <v>39</v>
      </c>
      <c r="X171" s="217" t="s">
        <v>39</v>
      </c>
      <c r="Y171" s="217" t="s">
        <v>39</v>
      </c>
      <c r="Z171" s="217" t="s">
        <v>39</v>
      </c>
      <c r="AA171" s="573">
        <v>170</v>
      </c>
    </row>
    <row r="172" spans="1:27" ht="15">
      <c r="A172" s="151"/>
      <c r="B172" s="225" t="str">
        <f>IF(Configurator!$T$5="5","-***","K")</f>
        <v>-***</v>
      </c>
      <c r="C172" s="225" t="str">
        <f>IF(Configurator!$T$5="5","-***","K")</f>
        <v>-***</v>
      </c>
      <c r="D172" s="217" t="s">
        <v>45</v>
      </c>
      <c r="E172" s="217" t="s">
        <v>45</v>
      </c>
      <c r="F172" s="217" t="s">
        <v>45</v>
      </c>
      <c r="G172" s="217" t="s">
        <v>45</v>
      </c>
      <c r="H172" s="217" t="s">
        <v>45</v>
      </c>
      <c r="I172" s="217" t="s">
        <v>45</v>
      </c>
      <c r="J172" s="217" t="s">
        <v>45</v>
      </c>
      <c r="K172" s="217" t="s">
        <v>45</v>
      </c>
      <c r="L172" s="217" t="s">
        <v>45</v>
      </c>
      <c r="M172" s="217" t="s">
        <v>45</v>
      </c>
      <c r="N172" s="217" t="s">
        <v>45</v>
      </c>
      <c r="O172" s="217" t="s">
        <v>45</v>
      </c>
      <c r="P172" s="217" t="s">
        <v>45</v>
      </c>
      <c r="Q172" s="217" t="s">
        <v>45</v>
      </c>
      <c r="R172" s="217" t="s">
        <v>45</v>
      </c>
      <c r="S172" s="217" t="s">
        <v>45</v>
      </c>
      <c r="T172" s="217" t="s">
        <v>45</v>
      </c>
      <c r="U172" s="217" t="s">
        <v>45</v>
      </c>
      <c r="V172" s="217" t="s">
        <v>45</v>
      </c>
      <c r="W172" s="217" t="s">
        <v>45</v>
      </c>
      <c r="X172" s="217" t="s">
        <v>45</v>
      </c>
      <c r="Y172" s="217" t="s">
        <v>45</v>
      </c>
      <c r="Z172" s="217" t="s">
        <v>45</v>
      </c>
      <c r="AA172" s="573">
        <v>171</v>
      </c>
    </row>
    <row r="173" spans="1:27" ht="15">
      <c r="A173" s="130" t="s">
        <v>169</v>
      </c>
      <c r="B173" s="157" t="s">
        <v>15</v>
      </c>
      <c r="C173" s="157" t="s">
        <v>15</v>
      </c>
      <c r="D173" s="157" t="s">
        <v>15</v>
      </c>
      <c r="E173" s="157" t="s">
        <v>15</v>
      </c>
      <c r="F173" s="157" t="s">
        <v>15</v>
      </c>
      <c r="G173" s="157" t="s">
        <v>15</v>
      </c>
      <c r="H173" s="157" t="s">
        <v>15</v>
      </c>
      <c r="I173" s="406" t="s">
        <v>15</v>
      </c>
      <c r="J173" s="406" t="s">
        <v>15</v>
      </c>
      <c r="K173" s="406" t="s">
        <v>15</v>
      </c>
      <c r="L173" s="406" t="s">
        <v>15</v>
      </c>
      <c r="M173" s="406" t="s">
        <v>15</v>
      </c>
      <c r="N173" s="157" t="s">
        <v>15</v>
      </c>
      <c r="O173" s="157" t="s">
        <v>15</v>
      </c>
      <c r="P173" s="406" t="s">
        <v>15</v>
      </c>
      <c r="Q173" s="406" t="s">
        <v>15</v>
      </c>
      <c r="R173" s="406" t="s">
        <v>15</v>
      </c>
      <c r="S173" s="406" t="s">
        <v>15</v>
      </c>
      <c r="T173" s="406" t="s">
        <v>15</v>
      </c>
      <c r="U173" s="406" t="s">
        <v>15</v>
      </c>
      <c r="V173" s="406" t="s">
        <v>15</v>
      </c>
      <c r="W173" s="406" t="s">
        <v>15</v>
      </c>
      <c r="X173" s="406" t="s">
        <v>15</v>
      </c>
      <c r="Y173" s="406" t="s">
        <v>15</v>
      </c>
      <c r="Z173" s="406" t="s">
        <v>15</v>
      </c>
      <c r="AA173" s="573">
        <v>172</v>
      </c>
    </row>
    <row r="174" spans="1:27" ht="15">
      <c r="A174" s="158" t="s">
        <v>171</v>
      </c>
      <c r="B174" s="407" t="s">
        <v>1478</v>
      </c>
      <c r="C174" s="407" t="s">
        <v>1478</v>
      </c>
      <c r="D174" s="407" t="s">
        <v>1478</v>
      </c>
      <c r="E174" s="407" t="s">
        <v>1478</v>
      </c>
      <c r="F174" s="407" t="s">
        <v>1478</v>
      </c>
      <c r="G174" s="407" t="s">
        <v>1478</v>
      </c>
      <c r="H174" s="407" t="s">
        <v>1478</v>
      </c>
      <c r="I174" s="407" t="s">
        <v>1478</v>
      </c>
      <c r="J174" s="407" t="s">
        <v>1478</v>
      </c>
      <c r="K174" s="407" t="s">
        <v>1478</v>
      </c>
      <c r="L174" s="407" t="s">
        <v>1478</v>
      </c>
      <c r="M174" s="407" t="s">
        <v>1478</v>
      </c>
      <c r="N174" s="407" t="s">
        <v>1478</v>
      </c>
      <c r="O174" s="407" t="s">
        <v>1478</v>
      </c>
      <c r="P174" s="407" t="s">
        <v>1478</v>
      </c>
      <c r="Q174" s="407" t="s">
        <v>1478</v>
      </c>
      <c r="R174" s="407" t="s">
        <v>1478</v>
      </c>
      <c r="S174" s="407" t="s">
        <v>1478</v>
      </c>
      <c r="T174" s="407" t="s">
        <v>1478</v>
      </c>
      <c r="U174" s="407" t="s">
        <v>1478</v>
      </c>
      <c r="V174" s="407" t="s">
        <v>1478</v>
      </c>
      <c r="W174" s="407" t="s">
        <v>1478</v>
      </c>
      <c r="X174" s="407" t="s">
        <v>1478</v>
      </c>
      <c r="Y174" s="407" t="s">
        <v>1478</v>
      </c>
      <c r="Z174" s="407" t="s">
        <v>1478</v>
      </c>
      <c r="AA174" s="573">
        <v>173</v>
      </c>
    </row>
    <row r="175" spans="1:27" ht="15">
      <c r="A175" s="148" t="s">
        <v>172</v>
      </c>
      <c r="B175" s="144" t="s">
        <v>15</v>
      </c>
      <c r="C175" s="144" t="s">
        <v>15</v>
      </c>
      <c r="D175" s="144" t="s">
        <v>15</v>
      </c>
      <c r="E175" s="144" t="s">
        <v>15</v>
      </c>
      <c r="F175" s="144" t="s">
        <v>15</v>
      </c>
      <c r="G175" s="144" t="s">
        <v>15</v>
      </c>
      <c r="H175" s="144" t="s">
        <v>15</v>
      </c>
      <c r="I175" s="405" t="s">
        <v>15</v>
      </c>
      <c r="J175" s="405" t="s">
        <v>15</v>
      </c>
      <c r="K175" s="405" t="s">
        <v>15</v>
      </c>
      <c r="L175" s="405" t="s">
        <v>15</v>
      </c>
      <c r="M175" s="405" t="s">
        <v>15</v>
      </c>
      <c r="N175" s="144" t="s">
        <v>15</v>
      </c>
      <c r="O175" s="144" t="s">
        <v>15</v>
      </c>
      <c r="P175" s="405" t="s">
        <v>15</v>
      </c>
      <c r="Q175" s="405" t="s">
        <v>15</v>
      </c>
      <c r="R175" s="405" t="s">
        <v>15</v>
      </c>
      <c r="S175" s="405" t="s">
        <v>15</v>
      </c>
      <c r="T175" s="405" t="s">
        <v>15</v>
      </c>
      <c r="U175" s="405" t="s">
        <v>15</v>
      </c>
      <c r="V175" s="405" t="s">
        <v>15</v>
      </c>
      <c r="W175" s="405" t="s">
        <v>15</v>
      </c>
      <c r="X175" s="405" t="s">
        <v>15</v>
      </c>
      <c r="Y175" s="405" t="s">
        <v>15</v>
      </c>
      <c r="Z175" s="405" t="s">
        <v>15</v>
      </c>
      <c r="AA175" s="573">
        <v>174</v>
      </c>
    </row>
    <row r="176" spans="2:27" ht="15">
      <c r="B176" s="138" t="str">
        <f>IF(OR(Configurator!$D$26&lt;"E",Configurator!$D$23&gt;7,Configurator!$D$23=1,Configurator!$D$23=3),"0","A")</f>
        <v>A</v>
      </c>
      <c r="C176" s="138" t="str">
        <f>IF(OR(Configurator!$D$26&lt;"E",Configurator!$D$23&gt;7,Configurator!$D$23=1,Configurator!$D$23=3),"0","A")</f>
        <v>A</v>
      </c>
      <c r="D176" s="138" t="str">
        <f>IF(OR(Configurator!$D$26&lt;"E",Configurator!$D$23&gt;7,Configurator!$D$23=1,Configurator!$D$23=3),"0","A")</f>
        <v>A</v>
      </c>
      <c r="E176" s="138" t="str">
        <f>IF(OR(Configurator!$D$26&lt;"E",Configurator!$D$23&gt;7,Configurator!$D$23=1,Configurator!$D$23=3),"0","A")</f>
        <v>A</v>
      </c>
      <c r="F176" s="138" t="str">
        <f>IF(OR(Configurator!$D$26&lt;"E",Configurator!$D$23&gt;7,Configurator!$D$23=1,Configurator!$D$23=3),"0","A")</f>
        <v>A</v>
      </c>
      <c r="G176" s="138" t="str">
        <f>IF(OR(Configurator!$D$26&lt;"E",Configurator!$D$23&gt;7,Configurator!$D$23=1,Configurator!$D$23=3),"0","A")</f>
        <v>A</v>
      </c>
      <c r="H176" s="138" t="str">
        <f>IF(OR(Configurator!$D$26&lt;"E",Configurator!$D$23&gt;7,Configurator!$D$23=1,Configurator!$D$23=3),"0","A")</f>
        <v>A</v>
      </c>
      <c r="I176" s="227" t="str">
        <f>IF(OR(Configurator!$D$26&lt;"E",Configurator!$D$23&gt;7,Configurator!$D$23=1,Configurator!$D$23=3),"0","A")</f>
        <v>A</v>
      </c>
      <c r="J176" s="227" t="str">
        <f>IF(OR(Configurator!$D$26&lt;"E",Configurator!$D$23&gt;7,Configurator!$D$23=1,Configurator!$D$23=3),"0","A")</f>
        <v>A</v>
      </c>
      <c r="K176" s="227" t="str">
        <f>IF(OR(Configurator!$D$26&lt;"E",Configurator!$D$23&gt;7,Configurator!$D$23=1,Configurator!$D$23=3),"0","A")</f>
        <v>A</v>
      </c>
      <c r="L176" s="227" t="str">
        <f>IF(OR(Configurator!$D$26&lt;"E",Configurator!$D$23&gt;7,Configurator!$D$23=1,Configurator!$D$23=3),"0","A")</f>
        <v>A</v>
      </c>
      <c r="M176" s="227" t="str">
        <f>IF(OR(Configurator!$D$26&lt;"E",Configurator!$D$23&gt;7,Configurator!$D$23=1,Configurator!$D$23=3),"0","A")</f>
        <v>A</v>
      </c>
      <c r="N176" s="138" t="str">
        <f>IF(OR(Configurator!$D$26&lt;"E",Configurator!$D$23&gt;7,Configurator!$D$23=1,Configurator!$D$23=3),"0","A")</f>
        <v>A</v>
      </c>
      <c r="O176" s="138" t="str">
        <f>IF(OR(Configurator!$D$26&lt;"E",Configurator!$D$23&gt;7,Configurator!$D$23=1,Configurator!$D$23=3),"0","A")</f>
        <v>A</v>
      </c>
      <c r="P176" s="227" t="str">
        <f>IF(OR(Configurator!$D$26&lt;"E",Configurator!$D$23&gt;7,Configurator!$D$23=1,Configurator!$D$23=3),"0","A")</f>
        <v>A</v>
      </c>
      <c r="Q176" s="227" t="str">
        <f>IF(OR(Configurator!$D$26&lt;"E",Configurator!$D$23&gt;7,Configurator!$D$23=1,Configurator!$D$23=3),"0","A")</f>
        <v>A</v>
      </c>
      <c r="R176" s="227" t="str">
        <f>IF(OR(Configurator!$D$26&lt;"E",Configurator!$D$23&gt;7,Configurator!$D$23=1,Configurator!$D$23=3),"0","A")</f>
        <v>A</v>
      </c>
      <c r="S176" s="227" t="str">
        <f>IF(OR(Configurator!$D$26&lt;"E",Configurator!$D$23&gt;7,Configurator!$D$23=1,Configurator!$D$23=3),"0","A")</f>
        <v>A</v>
      </c>
      <c r="T176" s="227" t="str">
        <f>IF(OR(Configurator!$D$26&lt;"E",Configurator!$D$23&gt;7,Configurator!$D$23=1,Configurator!$D$23=3),"0","A")</f>
        <v>A</v>
      </c>
      <c r="U176" s="227" t="str">
        <f>IF(OR(Configurator!$D$26&lt;"E",Configurator!$D$23&gt;7,Configurator!$D$23=1,Configurator!$D$23=3),"0","A")</f>
        <v>A</v>
      </c>
      <c r="V176" s="227" t="str">
        <f>IF(OR(Configurator!$D$26&lt;"E",Configurator!$D$23&gt;7,Configurator!$D$23=1,Configurator!$D$23=3),"0","A")</f>
        <v>A</v>
      </c>
      <c r="W176" s="227" t="str">
        <f>IF(OR(Configurator!$D$26&lt;"E",Configurator!$D$23&gt;7,Configurator!$D$23=1,Configurator!$D$23=3),"0","A")</f>
        <v>A</v>
      </c>
      <c r="X176" s="227" t="str">
        <f>IF(OR(Configurator!$D$26&lt;"E",Configurator!$D$23&gt;7,Configurator!$D$23=1,Configurator!$D$23=3),"0","A")</f>
        <v>A</v>
      </c>
      <c r="Y176" s="227" t="str">
        <f>IF(OR(Configurator!$D$23&gt;7,Configurator!$D$23=1,Configurator!$D$23=3),"0","A")</f>
        <v>A</v>
      </c>
      <c r="Z176" s="227" t="str">
        <f>IF(OR(Configurator!$D$23&gt;7,Configurator!$D$23=1,Configurator!$D$23=3),"0","A")</f>
        <v>A</v>
      </c>
      <c r="AA176" s="573">
        <v>175</v>
      </c>
    </row>
    <row r="177" spans="2:27" ht="15">
      <c r="B177" s="138" t="str">
        <f>IF(OR(Configurator!$D$26&lt;"E",Configurator!$D$23&gt;7,Configurator!$D$23=1,Configurator!$D$23=3),"0","B")</f>
        <v>B</v>
      </c>
      <c r="C177" s="138" t="str">
        <f>IF(OR(Configurator!$D$26&lt;"E",Configurator!$D$23&gt;7,Configurator!$D$23=1,Configurator!$D$23=3),"0","B")</f>
        <v>B</v>
      </c>
      <c r="D177" s="138" t="str">
        <f>IF(OR(Configurator!$D$26&lt;"E",Configurator!$D$23&gt;7,Configurator!$D$23=1,Configurator!$D$23=3),"0","B")</f>
        <v>B</v>
      </c>
      <c r="E177" s="138" t="str">
        <f>IF(OR(Configurator!$D$26&lt;"E",Configurator!$D$23&gt;7,Configurator!$D$23=1,Configurator!$D$23=3),"0","B")</f>
        <v>B</v>
      </c>
      <c r="F177" s="138" t="str">
        <f>IF(OR(Configurator!$D$26&lt;"E",Configurator!$D$23&gt;7,Configurator!$D$23=1,Configurator!$D$23=3),"0","B")</f>
        <v>B</v>
      </c>
      <c r="G177" s="138" t="str">
        <f>IF(OR(Configurator!$D$26&lt;"E",Configurator!$D$23&gt;7,Configurator!$D$23=1,Configurator!$D$23=3),"0","B")</f>
        <v>B</v>
      </c>
      <c r="H177" s="138" t="str">
        <f>IF(OR(Configurator!$D$26&lt;"E",Configurator!$D$23&gt;7,Configurator!$D$23=1,Configurator!$D$23=3),"0","B")</f>
        <v>B</v>
      </c>
      <c r="I177" s="227" t="str">
        <f>IF(OR(Configurator!$D$26&lt;"E",Configurator!$D$23&gt;7,Configurator!$D$23=1,Configurator!$D$23=3),"0","B")</f>
        <v>B</v>
      </c>
      <c r="J177" s="227" t="str">
        <f>IF(OR(Configurator!$D$26&lt;"E",Configurator!$D$23&gt;7,Configurator!$D$23=1,Configurator!$D$23=3),"0","B")</f>
        <v>B</v>
      </c>
      <c r="K177" s="227" t="str">
        <f>IF(OR(Configurator!$D$26&lt;"E",Configurator!$D$23&gt;7,Configurator!$D$23=1,Configurator!$D$23=3),"0","B")</f>
        <v>B</v>
      </c>
      <c r="L177" s="227" t="str">
        <f>IF(OR(Configurator!$D$26&lt;"E",Configurator!$D$23&gt;7,Configurator!$D$23=1,Configurator!$D$23=3),"0","B")</f>
        <v>B</v>
      </c>
      <c r="M177" s="227" t="str">
        <f>IF(OR(Configurator!$D$26&lt;"E",Configurator!$D$23&gt;7,Configurator!$D$23=1,Configurator!$D$23=3),"0","B")</f>
        <v>B</v>
      </c>
      <c r="N177" s="138" t="str">
        <f>IF(OR(Configurator!$D$26&lt;"E",Configurator!$D$23&gt;7,Configurator!$D$23=1,Configurator!$D$23=3),"0","B")</f>
        <v>B</v>
      </c>
      <c r="O177" s="138" t="str">
        <f>IF(OR(Configurator!$D$26&lt;"E",Configurator!$D$23&gt;7,Configurator!$D$23=1,Configurator!$D$23=3),"0","B")</f>
        <v>B</v>
      </c>
      <c r="P177" s="227" t="str">
        <f>IF(OR(Configurator!$D$26&lt;"E",Configurator!$D$23&gt;7,Configurator!$D$23=1,Configurator!$D$23=3),"0","B")</f>
        <v>B</v>
      </c>
      <c r="Q177" s="227" t="str">
        <f>IF(OR(Configurator!$D$26&lt;"E",Configurator!$D$23&gt;7,Configurator!$D$23=1,Configurator!$D$23=3),"0","B")</f>
        <v>B</v>
      </c>
      <c r="R177" s="227" t="str">
        <f>IF(OR(Configurator!$D$26&lt;"E",Configurator!$D$23&gt;7,Configurator!$D$23=1,Configurator!$D$23=3),"0","B")</f>
        <v>B</v>
      </c>
      <c r="S177" s="227" t="str">
        <f>IF(OR(Configurator!$D$26&lt;"E",Configurator!$D$23&gt;7,Configurator!$D$23=1,Configurator!$D$23=3),"0","B")</f>
        <v>B</v>
      </c>
      <c r="T177" s="227" t="str">
        <f>IF(OR(Configurator!$D$26&lt;"E",Configurator!$D$23&gt;7,Configurator!$D$23=1,Configurator!$D$23=3),"0","B")</f>
        <v>B</v>
      </c>
      <c r="U177" s="227" t="str">
        <f>IF(OR(Configurator!$D$26&lt;"E",Configurator!$D$23&gt;7,Configurator!$D$23=1,Configurator!$D$23=3),"0","B")</f>
        <v>B</v>
      </c>
      <c r="V177" s="227" t="str">
        <f>IF(OR(Configurator!$D$26&lt;"E",Configurator!$D$23&gt;7,Configurator!$D$23=1,Configurator!$D$23=3),"0","B")</f>
        <v>B</v>
      </c>
      <c r="W177" s="227" t="str">
        <f>IF(OR(Configurator!$D$26&lt;"E",Configurator!$D$23&gt;7,Configurator!$D$23=1,Configurator!$D$23=3),"0","B")</f>
        <v>B</v>
      </c>
      <c r="X177" s="227" t="str">
        <f>IF(OR(Configurator!$D$26&lt;"E",Configurator!$D$23&gt;7,Configurator!$D$23=1,Configurator!$D$23=3),"0","B")</f>
        <v>B</v>
      </c>
      <c r="Y177" s="227" t="str">
        <f>IF(OR(Configurator!$D$23&gt;7,Configurator!$D$23=1,Configurator!$D$23=3),"0","B")</f>
        <v>B</v>
      </c>
      <c r="Z177" s="227" t="str">
        <f>IF(OR(Configurator!$D$23&gt;7,Configurator!$D$23=1,Configurator!$D$23=3),"0","B")</f>
        <v>B</v>
      </c>
      <c r="AA177" s="573">
        <v>176</v>
      </c>
    </row>
    <row r="178" spans="1:27" ht="15">
      <c r="A178" s="160"/>
      <c r="B178" s="138" t="str">
        <f>IF(OR(Configurator!$D$26&lt;"E",Configurator!$D$23&gt;7,Configurator!$D$23=1,Configurator!$D$23=3),"0","C")</f>
        <v>C</v>
      </c>
      <c r="C178" s="138" t="str">
        <f>IF(OR(Configurator!$D$26&lt;"E",Configurator!$D$23&gt;7,Configurator!$D$23=1,Configurator!$D$23=3),"0","C")</f>
        <v>C</v>
      </c>
      <c r="D178" s="138" t="str">
        <f>IF(OR(Configurator!$D$26&lt;"E",Configurator!$D$23&gt;7,Configurator!$D$23=1,Configurator!$D$23=3),"0","C")</f>
        <v>C</v>
      </c>
      <c r="E178" s="138" t="str">
        <f>IF(OR(Configurator!$D$26&lt;"E",Configurator!$D$23&gt;7,Configurator!$D$23=1,Configurator!$D$23=3),"0","C")</f>
        <v>C</v>
      </c>
      <c r="F178" s="138" t="str">
        <f>IF(OR(Configurator!$D$26&lt;"E",Configurator!$D$23&gt;7,Configurator!$D$23=1,Configurator!$D$23=3),"0","C")</f>
        <v>C</v>
      </c>
      <c r="G178" s="138" t="str">
        <f>IF(OR(Configurator!$D$26&lt;"E",Configurator!$D$23&gt;7,Configurator!$D$23=1,Configurator!$D$23=3),"0","C")</f>
        <v>C</v>
      </c>
      <c r="H178" s="138" t="str">
        <f>IF(OR(Configurator!$D$26&lt;"E",Configurator!$D$23&gt;7,Configurator!$D$23=1,Configurator!$D$23=3),"0","C")</f>
        <v>C</v>
      </c>
      <c r="I178" s="227" t="str">
        <f>IF(OR(Configurator!$D$26&lt;"E",Configurator!$D$23&gt;7,Configurator!$D$23=1,Configurator!$D$23=3),"0","C")</f>
        <v>C</v>
      </c>
      <c r="J178" s="227" t="str">
        <f>IF(OR(Configurator!$D$26&lt;"E",Configurator!$D$23&gt;7,Configurator!$D$23=1,Configurator!$D$23=3),"0","C")</f>
        <v>C</v>
      </c>
      <c r="K178" s="227" t="str">
        <f>IF(OR(Configurator!$D$26&lt;"E",Configurator!$D$23&gt;7,Configurator!$D$23=1,Configurator!$D$23=3),"0","C")</f>
        <v>C</v>
      </c>
      <c r="L178" s="227" t="str">
        <f>IF(OR(Configurator!$D$26&lt;"E",Configurator!$D$23&gt;7,Configurator!$D$23=1,Configurator!$D$23=3),"0","C")</f>
        <v>C</v>
      </c>
      <c r="M178" s="227" t="str">
        <f>IF(OR(Configurator!$D$26&lt;"E",Configurator!$D$23&gt;7,Configurator!$D$23=1,Configurator!$D$23=3),"0","C")</f>
        <v>C</v>
      </c>
      <c r="N178" s="138" t="str">
        <f>IF(OR(Configurator!$D$26&lt;"E",Configurator!$D$23&gt;7,Configurator!$D$23=1,Configurator!$D$23=3),"0","C")</f>
        <v>C</v>
      </c>
      <c r="O178" s="138" t="str">
        <f>IF(OR(Configurator!$D$26&lt;"E",Configurator!$D$23&gt;7,Configurator!$D$23=1,Configurator!$D$23=3),"0","C")</f>
        <v>C</v>
      </c>
      <c r="P178" s="227" t="str">
        <f>IF(OR(Configurator!$D$26&lt;"E",Configurator!$D$23&gt;7,Configurator!$D$23=1,Configurator!$D$23=3),"0","C")</f>
        <v>C</v>
      </c>
      <c r="Q178" s="227" t="str">
        <f>IF(OR(Configurator!$D$26&lt;"E",Configurator!$D$23&gt;7,Configurator!$D$23=1,Configurator!$D$23=3),"0","C")</f>
        <v>C</v>
      </c>
      <c r="R178" s="227" t="str">
        <f>IF(OR(Configurator!$D$26&lt;"E",Configurator!$D$23&gt;7,Configurator!$D$23=1,Configurator!$D$23=3),"0","C")</f>
        <v>C</v>
      </c>
      <c r="S178" s="227" t="str">
        <f>IF(OR(Configurator!$D$26&lt;"E",Configurator!$D$23&gt;7,Configurator!$D$23=1,Configurator!$D$23=3),"0","C")</f>
        <v>C</v>
      </c>
      <c r="T178" s="227" t="str">
        <f>IF(OR(Configurator!$D$26&lt;"E",Configurator!$D$23&gt;7,Configurator!$D$23=1,Configurator!$D$23=3),"0","C")</f>
        <v>C</v>
      </c>
      <c r="U178" s="227" t="str">
        <f>IF(OR(Configurator!$D$26&lt;"E",Configurator!$D$23&gt;7,Configurator!$D$23=1,Configurator!$D$23=3),"0","C")</f>
        <v>C</v>
      </c>
      <c r="V178" s="227" t="str">
        <f>IF(OR(Configurator!$D$26&lt;"E",Configurator!$D$23&gt;7,Configurator!$D$23=1,Configurator!$D$23=3),"0","C")</f>
        <v>C</v>
      </c>
      <c r="W178" s="227" t="str">
        <f>IF(OR(Configurator!$D$26&lt;"E",Configurator!$D$23&gt;7,Configurator!$D$23=1,Configurator!$D$23=3),"0","C")</f>
        <v>C</v>
      </c>
      <c r="X178" s="227" t="str">
        <f>IF(OR(Configurator!$D$26&lt;"E",Configurator!$D$23&gt;7,Configurator!$D$23=1,Configurator!$D$23=3),"0","C")</f>
        <v>C</v>
      </c>
      <c r="Y178" s="227" t="str">
        <f>IF(OR(Configurator!$D$23&gt;7,Configurator!$D$23=1,Configurator!$D$23=3),"0","C")</f>
        <v>C</v>
      </c>
      <c r="Z178" s="227" t="str">
        <f>IF(OR(Configurator!$D$23&gt;7,Configurator!$D$23=1,Configurator!$D$23=3),"0","C")</f>
        <v>C</v>
      </c>
      <c r="AA178" s="573">
        <v>177</v>
      </c>
    </row>
    <row r="179" spans="1:27" ht="15">
      <c r="A179" s="160"/>
      <c r="B179" s="138" t="str">
        <f>IF(OR(Configurator!$D$26&lt;"E",Configurator!$D$23&gt;7,Configurator!$D$23=1,Configurator!$D$23=3),"0","D")</f>
        <v>D</v>
      </c>
      <c r="C179" s="138" t="str">
        <f>IF(OR(Configurator!$D$26&lt;"E",Configurator!$D$23&gt;7,Configurator!$D$23=1,Configurator!$D$23=3),"0","D")</f>
        <v>D</v>
      </c>
      <c r="D179" s="138" t="str">
        <f>IF(OR(Configurator!$D$26&lt;"E",Configurator!$D$23&gt;7,Configurator!$D$23=1,Configurator!$D$23=3),"0","D")</f>
        <v>D</v>
      </c>
      <c r="E179" s="138" t="str">
        <f>IF(OR(Configurator!$D$26&lt;"E",Configurator!$D$23&gt;7,Configurator!$D$23=1,Configurator!$D$23=3),"0","D")</f>
        <v>D</v>
      </c>
      <c r="F179" s="138" t="str">
        <f>IF(OR(Configurator!$D$26&lt;"E",Configurator!$D$23&gt;7,Configurator!$D$23=1,Configurator!$D$23=3),"0","D")</f>
        <v>D</v>
      </c>
      <c r="G179" s="138" t="str">
        <f>IF(OR(Configurator!$D$26&lt;"E",Configurator!$D$23&gt;7,Configurator!$D$23=1,Configurator!$D$23=3),"0","D")</f>
        <v>D</v>
      </c>
      <c r="H179" s="138" t="str">
        <f>IF(OR(Configurator!$D$26&lt;"E",Configurator!$D$23&gt;7,Configurator!$D$23=1,Configurator!$D$23=3),"0","D")</f>
        <v>D</v>
      </c>
      <c r="I179" s="227" t="str">
        <f>IF(OR(Configurator!$D$26&lt;"E",Configurator!$D$23&gt;7,Configurator!$D$23=1,Configurator!$D$23=3),"0","D")</f>
        <v>D</v>
      </c>
      <c r="J179" s="227" t="str">
        <f>IF(OR(Configurator!$D$26&lt;"E",Configurator!$D$23&gt;7,Configurator!$D$23=1,Configurator!$D$23=3),"0","D")</f>
        <v>D</v>
      </c>
      <c r="K179" s="227" t="str">
        <f>IF(OR(Configurator!$D$26&lt;"E",Configurator!$D$23&gt;7,Configurator!$D$23=1,Configurator!$D$23=3),"0","D")</f>
        <v>D</v>
      </c>
      <c r="L179" s="227" t="str">
        <f>IF(OR(Configurator!$D$26&lt;"E",Configurator!$D$23&gt;7,Configurator!$D$23=1,Configurator!$D$23=3),"0","D")</f>
        <v>D</v>
      </c>
      <c r="M179" s="227" t="str">
        <f>IF(OR(Configurator!$D$26&lt;"E",Configurator!$D$23&gt;7,Configurator!$D$23=1,Configurator!$D$23=3),"0","D")</f>
        <v>D</v>
      </c>
      <c r="N179" s="138" t="str">
        <f>IF(OR(Configurator!$D$26&lt;"E",Configurator!$D$23&gt;7,Configurator!$D$23=1,Configurator!$D$23=3),"0","D")</f>
        <v>D</v>
      </c>
      <c r="O179" s="138" t="str">
        <f>IF(OR(Configurator!$D$26&lt;"E",Configurator!$D$23&gt;7,Configurator!$D$23=1,Configurator!$D$23=3),"0","D")</f>
        <v>D</v>
      </c>
      <c r="P179" s="227" t="str">
        <f>IF(OR(Configurator!$D$26&lt;"E",Configurator!$D$23&gt;7,Configurator!$D$23=1,Configurator!$D$23=3),"0","D")</f>
        <v>D</v>
      </c>
      <c r="Q179" s="227" t="str">
        <f>IF(OR(Configurator!$D$26&lt;"E",Configurator!$D$23&gt;7,Configurator!$D$23=1,Configurator!$D$23=3),"0","D")</f>
        <v>D</v>
      </c>
      <c r="R179" s="227" t="str">
        <f>IF(OR(Configurator!$D$26&lt;"E",Configurator!$D$23&gt;7,Configurator!$D$23=1,Configurator!$D$23=3),"0","D")</f>
        <v>D</v>
      </c>
      <c r="S179" s="227" t="str">
        <f>IF(OR(Configurator!$D$26&lt;"E",Configurator!$D$23&gt;7,Configurator!$D$23=1,Configurator!$D$23=3),"0","D")</f>
        <v>D</v>
      </c>
      <c r="T179" s="227" t="str">
        <f>IF(OR(Configurator!$D$26&lt;"E",Configurator!$D$23&gt;7,Configurator!$D$23=1,Configurator!$D$23=3),"0","D")</f>
        <v>D</v>
      </c>
      <c r="U179" s="227" t="str">
        <f>IF(OR(Configurator!$D$26&lt;"E",Configurator!$D$23&gt;7,Configurator!$D$23=1,Configurator!$D$23=3),"0","D")</f>
        <v>D</v>
      </c>
      <c r="V179" s="227" t="str">
        <f>IF(OR(Configurator!$D$26&lt;"E",Configurator!$D$23&gt;7,Configurator!$D$23=1,Configurator!$D$23=3),"0","D")</f>
        <v>D</v>
      </c>
      <c r="W179" s="227" t="str">
        <f>IF(OR(Configurator!$D$26&lt;"E",Configurator!$D$23&gt;7,Configurator!$D$23=1,Configurator!$D$23=3),"0","D")</f>
        <v>D</v>
      </c>
      <c r="X179" s="227" t="str">
        <f>IF(OR(Configurator!$D$26&lt;"E",Configurator!$D$23&gt;7,Configurator!$D$23=1,Configurator!$D$23=3),"0","D")</f>
        <v>D</v>
      </c>
      <c r="Y179" s="227" t="str">
        <f>IF(OR(Configurator!$D$23&gt;7,Configurator!$D$23=1,Configurator!$D$23=3),"0","D")</f>
        <v>D</v>
      </c>
      <c r="Z179" s="227" t="str">
        <f>IF(OR(Configurator!$D$23&gt;7,Configurator!$D$23=1,Configurator!$D$23=3),"0","D")</f>
        <v>D</v>
      </c>
      <c r="AA179" s="573">
        <v>178</v>
      </c>
    </row>
    <row r="180" spans="1:27" ht="15">
      <c r="A180" s="161">
        <f>HLOOKUP($B$1,$B$2:$Z$112,59)</f>
        <v>1</v>
      </c>
      <c r="B180" s="162" t="str">
        <f>HLOOKUP($B$1,$B$2:$Z$112,60)</f>
        <v> </v>
      </c>
      <c r="C180" s="162" t="str">
        <f>HLOOKUP($B$1,$B$2:$Z$112,61)</f>
        <v> </v>
      </c>
      <c r="D180" s="161" t="str">
        <f>HLOOKUP($B$1,$B$2:$Z$112,62)</f>
        <v> </v>
      </c>
      <c r="E180" s="162" t="str">
        <f>HLOOKUP($B$1,$B$2:$Z$112,62)</f>
        <v> </v>
      </c>
      <c r="F180" s="162"/>
      <c r="H180" s="162"/>
      <c r="I180" s="408"/>
      <c r="J180" s="408"/>
      <c r="K180" s="408" t="str">
        <f>HLOOKUP($B$1,$B$2:$Z$112,62)</f>
        <v> </v>
      </c>
      <c r="L180" s="408"/>
      <c r="M180" s="408"/>
      <c r="N180" s="162"/>
      <c r="O180" s="162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573">
        <v>179</v>
      </c>
    </row>
    <row r="181" spans="1:27" ht="15">
      <c r="A181" s="163">
        <f>HLOOKUP($B$1,$B$2:$Z$112,63)</f>
        <v>2</v>
      </c>
      <c r="B181" s="138" t="str">
        <f>HLOOKUP($B$1,$B$2:$Z$112,64)</f>
        <v> порт RS485 (изолированный)</v>
      </c>
      <c r="C181" s="138" t="str">
        <f>HLOOKUP($B$1,$B$2:$Z$112,65)</f>
        <v>Оптоволокно (пластик), FSMA-connector</v>
      </c>
      <c r="D181" s="138" t="str">
        <f>HLOOKUP($B$1,$B$2:$Z$112,66)</f>
        <v>Оптоволокно(стекло), ST connector</v>
      </c>
      <c r="E181" s="138"/>
      <c r="F181" s="138"/>
      <c r="H181" s="138"/>
      <c r="I181" s="227"/>
      <c r="J181" s="227"/>
      <c r="K181" s="227"/>
      <c r="L181" s="227"/>
      <c r="M181" s="227"/>
      <c r="N181" s="138"/>
      <c r="O181" s="138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573">
        <v>180</v>
      </c>
    </row>
    <row r="182" spans="1:27" ht="15">
      <c r="A182" s="163">
        <f>HLOOKUP($B$1,$B$2:$Z$112,67)</f>
        <v>3</v>
      </c>
      <c r="B182" s="138" t="str">
        <f>HLOOKUP($B$1,$B$2:$Z$112,68)</f>
        <v> 100 Mbit/s Ethernet, оптоволокно(стекло)SC и RJ45 и  2ой задний порт связи (RS485, IEC 60870-5-103)</v>
      </c>
      <c r="C182" s="138" t="str">
        <f>HLOOKUP($B$1,$B$2:$Z$112,69)</f>
        <v> 100 Mbit/s Ethernet, оптоволокно(стекло)ST и RJ45 и  2ой задний порт связи (RS485, IEC 60870-5-103)</v>
      </c>
      <c r="D182" s="138" t="str">
        <f>HLOOKUP($B$1,$B$2:$Z$112,70)</f>
        <v> </v>
      </c>
      <c r="E182" s="138" t="str">
        <f>HLOOKUP($B$1,$B$2:$Z$112,70)</f>
        <v> </v>
      </c>
      <c r="F182" s="138"/>
      <c r="H182" s="138"/>
      <c r="I182" s="227"/>
      <c r="J182" s="227"/>
      <c r="K182" s="227" t="str">
        <f>HLOOKUP($B$1,$B$2:$Z$112,70)</f>
        <v> </v>
      </c>
      <c r="L182" s="227"/>
      <c r="M182" s="227"/>
      <c r="N182" s="138"/>
      <c r="O182" s="138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573">
        <v>181</v>
      </c>
    </row>
    <row r="183" spans="1:27" ht="15">
      <c r="A183" s="163">
        <v>4</v>
      </c>
      <c r="B183" s="138" t="str">
        <f>CONCATENATE(HLOOKUP($B$1,$B$2:$Z$312,217)," ",HLOOKUP($B$1,$B$2:$Z$312,220))</f>
        <v>Для подключения к 100 Mbit/s Ethernet, оптоволокном (стекло) ST, SHP  и плата IRIG-B для синхронизации по времени и 2му заднему входу (RS485, IEC 60870-5-103)</v>
      </c>
      <c r="C183" s="138" t="str">
        <f>CONCATENATE(HLOOKUP($B$1,$B$2:$Z$312,218)," ",HLOOKUP($B$1,$B$2:$Z$312,220))</f>
        <v>Для подключения к Mbit/s MHz Ethernet, оптоволокном (стекло) ST, RSTP  и плата IRIG-B для синхронизации по времени и 2му заднему входу (RS485, IEC 60870-5-103)</v>
      </c>
      <c r="D183" s="138" t="str">
        <f>CONCATENATE(HLOOKUP($B$1,$B$2:$Z$312,219)," ",HLOOKUP($B$1,$B$2:$Z$312,220))</f>
        <v>Для подключения к 100 Mbit/s Ethernet, оптоволокно (стекло) ST, двойное подключение  и плата IRIG-B для синхронизации по времени и 2му заднему входу (RS485, IEC 60870-5-103)</v>
      </c>
      <c r="E183" s="138" t="str">
        <f>CONCATENATE(HLOOKUP($B$1,$B$2:$AA$312,230)," ",HLOOKUP($B$1,$B$2:$AA$312,231))</f>
        <v>   </v>
      </c>
      <c r="F183" s="138"/>
      <c r="H183" s="138"/>
      <c r="I183" s="227"/>
      <c r="J183" s="227"/>
      <c r="K183" s="227"/>
      <c r="L183" s="227"/>
      <c r="M183" s="227"/>
      <c r="N183" s="138"/>
      <c r="O183" s="138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573">
        <v>182</v>
      </c>
    </row>
    <row r="184" spans="2:27" ht="15">
      <c r="B184" s="94"/>
      <c r="AA184" s="573">
        <v>183</v>
      </c>
    </row>
    <row r="185" spans="1:27" ht="15">
      <c r="A185" s="94" t="s">
        <v>205</v>
      </c>
      <c r="B185" s="165" t="s">
        <v>206</v>
      </c>
      <c r="C185" s="165" t="s">
        <v>206</v>
      </c>
      <c r="D185" s="159" t="s">
        <v>206</v>
      </c>
      <c r="E185" s="165">
        <v>30</v>
      </c>
      <c r="F185" s="165">
        <v>30</v>
      </c>
      <c r="G185" s="165">
        <v>30</v>
      </c>
      <c r="H185" s="165">
        <v>30</v>
      </c>
      <c r="I185" s="410">
        <v>30</v>
      </c>
      <c r="J185" s="410">
        <v>30</v>
      </c>
      <c r="K185" s="410">
        <v>30</v>
      </c>
      <c r="L185" s="410">
        <v>30</v>
      </c>
      <c r="M185" s="410">
        <v>30</v>
      </c>
      <c r="N185" s="165">
        <v>30</v>
      </c>
      <c r="O185" s="165">
        <v>30</v>
      </c>
      <c r="P185" s="410">
        <v>30</v>
      </c>
      <c r="Q185" s="410">
        <v>30</v>
      </c>
      <c r="R185" s="410">
        <v>30</v>
      </c>
      <c r="S185" s="410">
        <v>30</v>
      </c>
      <c r="T185" s="410">
        <v>30</v>
      </c>
      <c r="U185" s="410">
        <v>30</v>
      </c>
      <c r="V185" s="410">
        <v>30</v>
      </c>
      <c r="W185" s="410">
        <v>30</v>
      </c>
      <c r="X185" s="410">
        <v>30</v>
      </c>
      <c r="Y185" s="410">
        <v>30</v>
      </c>
      <c r="Z185" s="410">
        <v>30</v>
      </c>
      <c r="AA185" s="573">
        <v>184</v>
      </c>
    </row>
    <row r="186" spans="2:27" ht="15">
      <c r="B186" s="165" t="s">
        <v>207</v>
      </c>
      <c r="C186" s="165" t="s">
        <v>207</v>
      </c>
      <c r="D186" s="159" t="s">
        <v>207</v>
      </c>
      <c r="E186" s="165">
        <v>32</v>
      </c>
      <c r="F186" s="165">
        <v>32</v>
      </c>
      <c r="G186" s="165">
        <v>32</v>
      </c>
      <c r="H186" s="165">
        <v>32</v>
      </c>
      <c r="I186" s="410">
        <v>32</v>
      </c>
      <c r="J186" s="410">
        <v>32</v>
      </c>
      <c r="K186" s="410">
        <v>32</v>
      </c>
      <c r="L186" s="410">
        <v>32</v>
      </c>
      <c r="M186" s="410">
        <v>32</v>
      </c>
      <c r="N186" s="165">
        <v>32</v>
      </c>
      <c r="O186" s="165">
        <v>32</v>
      </c>
      <c r="P186" s="410">
        <v>32</v>
      </c>
      <c r="Q186" s="410">
        <v>32</v>
      </c>
      <c r="R186" s="410">
        <v>32</v>
      </c>
      <c r="S186" s="410">
        <v>32</v>
      </c>
      <c r="T186" s="410">
        <v>32</v>
      </c>
      <c r="U186" s="410">
        <v>32</v>
      </c>
      <c r="V186" s="410">
        <v>32</v>
      </c>
      <c r="W186" s="410">
        <v>32</v>
      </c>
      <c r="X186" s="410">
        <v>32</v>
      </c>
      <c r="Y186" s="410">
        <v>32</v>
      </c>
      <c r="Z186" s="410">
        <v>32</v>
      </c>
      <c r="AA186" s="573">
        <v>185</v>
      </c>
    </row>
    <row r="187" spans="2:27" ht="15">
      <c r="B187" s="165" t="s">
        <v>208</v>
      </c>
      <c r="C187" s="165" t="s">
        <v>208</v>
      </c>
      <c r="D187" s="159" t="s">
        <v>208</v>
      </c>
      <c r="E187" s="165" t="s">
        <v>0</v>
      </c>
      <c r="F187" s="165" t="s">
        <v>0</v>
      </c>
      <c r="G187" s="165" t="s">
        <v>0</v>
      </c>
      <c r="H187" s="165" t="s">
        <v>0</v>
      </c>
      <c r="I187" s="410" t="s">
        <v>0</v>
      </c>
      <c r="J187" s="410" t="s">
        <v>0</v>
      </c>
      <c r="K187" s="410" t="s">
        <v>0</v>
      </c>
      <c r="L187" s="410" t="s">
        <v>0</v>
      </c>
      <c r="M187" s="410" t="s">
        <v>0</v>
      </c>
      <c r="N187" s="165" t="s">
        <v>0</v>
      </c>
      <c r="O187" s="165" t="s">
        <v>0</v>
      </c>
      <c r="P187" s="410" t="s">
        <v>0</v>
      </c>
      <c r="Q187" s="410" t="s">
        <v>0</v>
      </c>
      <c r="R187" s="410" t="s">
        <v>0</v>
      </c>
      <c r="S187" s="410" t="s">
        <v>0</v>
      </c>
      <c r="T187" s="410" t="s">
        <v>0</v>
      </c>
      <c r="U187" s="410" t="s">
        <v>0</v>
      </c>
      <c r="V187" s="410" t="s">
        <v>0</v>
      </c>
      <c r="W187" s="410" t="s">
        <v>0</v>
      </c>
      <c r="X187" s="410" t="s">
        <v>0</v>
      </c>
      <c r="Y187" s="410" t="s">
        <v>0</v>
      </c>
      <c r="Z187" s="410" t="s">
        <v>0</v>
      </c>
      <c r="AA187" s="573">
        <v>186</v>
      </c>
    </row>
    <row r="188" spans="2:27" ht="15">
      <c r="B188" s="165" t="s">
        <v>209</v>
      </c>
      <c r="C188" s="165" t="s">
        <v>209</v>
      </c>
      <c r="D188" s="159" t="s">
        <v>209</v>
      </c>
      <c r="E188" s="165">
        <v>50</v>
      </c>
      <c r="F188" s="165">
        <v>50</v>
      </c>
      <c r="G188" s="165">
        <v>50</v>
      </c>
      <c r="H188" s="165">
        <v>50</v>
      </c>
      <c r="I188" s="410">
        <v>50</v>
      </c>
      <c r="J188" s="410">
        <v>50</v>
      </c>
      <c r="K188" s="410">
        <v>50</v>
      </c>
      <c r="L188" s="410">
        <v>50</v>
      </c>
      <c r="M188" s="410">
        <v>50</v>
      </c>
      <c r="N188" s="165">
        <v>50</v>
      </c>
      <c r="O188" s="165">
        <v>50</v>
      </c>
      <c r="P188" s="410">
        <v>50</v>
      </c>
      <c r="Q188" s="410">
        <v>50</v>
      </c>
      <c r="R188" s="410">
        <v>50</v>
      </c>
      <c r="S188" s="410">
        <v>50</v>
      </c>
      <c r="T188" s="410">
        <v>50</v>
      </c>
      <c r="U188" s="410">
        <v>50</v>
      </c>
      <c r="V188" s="410">
        <v>50</v>
      </c>
      <c r="W188" s="410">
        <v>50</v>
      </c>
      <c r="X188" s="410">
        <v>50</v>
      </c>
      <c r="Y188" s="410">
        <v>50</v>
      </c>
      <c r="Z188" s="410">
        <v>50</v>
      </c>
      <c r="AA188" s="573">
        <v>187</v>
      </c>
    </row>
    <row r="189" spans="2:27" ht="15">
      <c r="B189" s="171"/>
      <c r="C189" s="171"/>
      <c r="D189" s="171"/>
      <c r="AA189" s="573">
        <v>188</v>
      </c>
    </row>
    <row r="190" spans="1:27" ht="15">
      <c r="A190" s="174" t="s">
        <v>284</v>
      </c>
      <c r="B190" s="168" t="s">
        <v>286</v>
      </c>
      <c r="C190" s="168" t="s">
        <v>286</v>
      </c>
      <c r="D190" s="168" t="s">
        <v>286</v>
      </c>
      <c r="E190" s="168" t="s">
        <v>285</v>
      </c>
      <c r="F190" s="168" t="s">
        <v>286</v>
      </c>
      <c r="G190" s="168" t="s">
        <v>286</v>
      </c>
      <c r="H190" s="168" t="s">
        <v>286</v>
      </c>
      <c r="I190" s="411" t="s">
        <v>286</v>
      </c>
      <c r="J190" s="411" t="s">
        <v>286</v>
      </c>
      <c r="K190" s="411" t="s">
        <v>285</v>
      </c>
      <c r="L190" s="411" t="s">
        <v>286</v>
      </c>
      <c r="M190" s="411" t="s">
        <v>286</v>
      </c>
      <c r="N190" s="168" t="s">
        <v>286</v>
      </c>
      <c r="O190" s="168" t="s">
        <v>286</v>
      </c>
      <c r="P190" s="411" t="s">
        <v>286</v>
      </c>
      <c r="Q190" s="411" t="s">
        <v>286</v>
      </c>
      <c r="R190" s="411" t="s">
        <v>286</v>
      </c>
      <c r="S190" s="411" t="s">
        <v>286</v>
      </c>
      <c r="T190" s="411" t="s">
        <v>286</v>
      </c>
      <c r="U190" s="411" t="s">
        <v>286</v>
      </c>
      <c r="V190" s="411" t="s">
        <v>286</v>
      </c>
      <c r="W190" s="411" t="s">
        <v>286</v>
      </c>
      <c r="X190" s="411" t="s">
        <v>286</v>
      </c>
      <c r="Y190" s="411" t="s">
        <v>286</v>
      </c>
      <c r="Z190" s="411" t="s">
        <v>286</v>
      </c>
      <c r="AA190" s="573">
        <v>189</v>
      </c>
    </row>
    <row r="191" spans="1:27" ht="15">
      <c r="A191" s="140"/>
      <c r="B191" s="145" t="s">
        <v>1073</v>
      </c>
      <c r="C191" s="145" t="s">
        <v>1073</v>
      </c>
      <c r="D191" s="145" t="s">
        <v>1073</v>
      </c>
      <c r="E191" s="169" t="s">
        <v>286</v>
      </c>
      <c r="F191" s="145" t="s">
        <v>1073</v>
      </c>
      <c r="G191" s="145" t="s">
        <v>1073</v>
      </c>
      <c r="H191" s="145" t="s">
        <v>1073</v>
      </c>
      <c r="I191" s="236" t="s">
        <v>1073</v>
      </c>
      <c r="J191" s="236" t="s">
        <v>1073</v>
      </c>
      <c r="K191" s="412" t="s">
        <v>286</v>
      </c>
      <c r="L191" s="236" t="s">
        <v>1073</v>
      </c>
      <c r="M191" s="236" t="s">
        <v>1073</v>
      </c>
      <c r="N191" s="145" t="s">
        <v>1073</v>
      </c>
      <c r="O191" s="145" t="s">
        <v>1073</v>
      </c>
      <c r="P191" s="236" t="s">
        <v>1073</v>
      </c>
      <c r="Q191" s="236" t="s">
        <v>1073</v>
      </c>
      <c r="R191" s="236" t="s">
        <v>1073</v>
      </c>
      <c r="S191" s="236" t="s">
        <v>1073</v>
      </c>
      <c r="T191" s="236" t="s">
        <v>1073</v>
      </c>
      <c r="U191" s="236" t="s">
        <v>1073</v>
      </c>
      <c r="V191" s="236" t="s">
        <v>1073</v>
      </c>
      <c r="W191" s="236" t="s">
        <v>1073</v>
      </c>
      <c r="X191" s="236" t="s">
        <v>1073</v>
      </c>
      <c r="Y191" s="236" t="s">
        <v>1073</v>
      </c>
      <c r="Z191" s="236" t="s">
        <v>1073</v>
      </c>
      <c r="AA191" s="573">
        <v>190</v>
      </c>
    </row>
    <row r="192" spans="1:27" ht="15">
      <c r="A192" s="140"/>
      <c r="B192" s="141">
        <v>2</v>
      </c>
      <c r="C192" s="141">
        <v>2</v>
      </c>
      <c r="D192" s="141">
        <v>2</v>
      </c>
      <c r="E192" s="141">
        <v>1</v>
      </c>
      <c r="F192" s="141">
        <v>2</v>
      </c>
      <c r="G192" s="141">
        <v>2</v>
      </c>
      <c r="H192" s="141">
        <v>2</v>
      </c>
      <c r="I192" s="403">
        <v>2</v>
      </c>
      <c r="J192" s="403">
        <v>2</v>
      </c>
      <c r="K192" s="403">
        <v>1</v>
      </c>
      <c r="L192" s="403">
        <v>2</v>
      </c>
      <c r="M192" s="403">
        <v>2</v>
      </c>
      <c r="N192" s="141">
        <v>2</v>
      </c>
      <c r="O192" s="141">
        <v>2</v>
      </c>
      <c r="P192" s="403">
        <v>2</v>
      </c>
      <c r="Q192" s="403">
        <v>2</v>
      </c>
      <c r="R192" s="403">
        <v>2</v>
      </c>
      <c r="S192" s="403">
        <v>2</v>
      </c>
      <c r="T192" s="403">
        <v>2</v>
      </c>
      <c r="U192" s="403">
        <v>2</v>
      </c>
      <c r="V192" s="403">
        <v>2</v>
      </c>
      <c r="W192" s="403">
        <v>2</v>
      </c>
      <c r="X192" s="403">
        <v>2</v>
      </c>
      <c r="Y192" s="403">
        <v>2</v>
      </c>
      <c r="Z192" s="403">
        <v>2</v>
      </c>
      <c r="AA192" s="573">
        <v>191</v>
      </c>
    </row>
    <row r="193" spans="1:27" ht="15">
      <c r="A193" s="151"/>
      <c r="B193" s="143">
        <v>2</v>
      </c>
      <c r="C193" s="143">
        <v>2</v>
      </c>
      <c r="D193" s="143">
        <v>2</v>
      </c>
      <c r="E193" s="143">
        <v>3</v>
      </c>
      <c r="F193" s="143">
        <v>2</v>
      </c>
      <c r="G193" s="143">
        <v>2</v>
      </c>
      <c r="H193" s="143">
        <v>2</v>
      </c>
      <c r="I193" s="404">
        <v>2</v>
      </c>
      <c r="J193" s="404">
        <v>2</v>
      </c>
      <c r="K193" s="404">
        <v>3</v>
      </c>
      <c r="L193" s="404">
        <v>2</v>
      </c>
      <c r="M193" s="404">
        <v>2</v>
      </c>
      <c r="N193" s="143">
        <v>2</v>
      </c>
      <c r="O193" s="143">
        <v>2</v>
      </c>
      <c r="P193" s="404">
        <v>2</v>
      </c>
      <c r="Q193" s="404">
        <v>2</v>
      </c>
      <c r="R193" s="404">
        <v>2</v>
      </c>
      <c r="S193" s="404">
        <v>2</v>
      </c>
      <c r="T193" s="404">
        <v>2</v>
      </c>
      <c r="U193" s="404">
        <v>2</v>
      </c>
      <c r="V193" s="404">
        <v>2</v>
      </c>
      <c r="W193" s="404">
        <v>2</v>
      </c>
      <c r="X193" s="404">
        <v>2</v>
      </c>
      <c r="Y193" s="404">
        <v>2</v>
      </c>
      <c r="Z193" s="404">
        <v>2</v>
      </c>
      <c r="AA193" s="573">
        <v>192</v>
      </c>
    </row>
    <row r="194" spans="1:27" ht="15">
      <c r="A194" s="94" t="s">
        <v>287</v>
      </c>
      <c r="B194" s="174"/>
      <c r="C194" s="174"/>
      <c r="D194" s="174"/>
      <c r="E194" s="174"/>
      <c r="F194" s="174"/>
      <c r="G194" s="174"/>
      <c r="H194" s="174"/>
      <c r="I194" s="413"/>
      <c r="J194" s="413"/>
      <c r="K194" s="413"/>
      <c r="L194" s="413"/>
      <c r="M194" s="413"/>
      <c r="N194" s="174"/>
      <c r="O194" s="174"/>
      <c r="P194" s="413"/>
      <c r="Q194" s="413"/>
      <c r="R194" s="413"/>
      <c r="S194" s="413"/>
      <c r="T194" s="413"/>
      <c r="U194" s="413"/>
      <c r="V194" s="413"/>
      <c r="W194" s="413"/>
      <c r="X194" s="413"/>
      <c r="Y194" s="413"/>
      <c r="Z194" s="413"/>
      <c r="AA194" s="573">
        <v>193</v>
      </c>
    </row>
    <row r="195" spans="1:27" ht="15">
      <c r="A195" s="166"/>
      <c r="B195" s="134" t="s">
        <v>230</v>
      </c>
      <c r="C195" s="134" t="s">
        <v>230</v>
      </c>
      <c r="D195" s="134" t="s">
        <v>230</v>
      </c>
      <c r="E195" s="134" t="s">
        <v>230</v>
      </c>
      <c r="F195" s="134" t="s">
        <v>230</v>
      </c>
      <c r="G195" s="134" t="s">
        <v>230</v>
      </c>
      <c r="H195" s="134" t="s">
        <v>230</v>
      </c>
      <c r="I195" s="217" t="s">
        <v>230</v>
      </c>
      <c r="J195" s="217" t="s">
        <v>230</v>
      </c>
      <c r="K195" s="217" t="s">
        <v>230</v>
      </c>
      <c r="L195" s="217" t="s">
        <v>230</v>
      </c>
      <c r="M195" s="217" t="s">
        <v>230</v>
      </c>
      <c r="N195" s="134" t="s">
        <v>230</v>
      </c>
      <c r="O195" s="134" t="s">
        <v>230</v>
      </c>
      <c r="P195" s="217" t="s">
        <v>230</v>
      </c>
      <c r="Q195" s="217" t="s">
        <v>230</v>
      </c>
      <c r="R195" s="217" t="s">
        <v>230</v>
      </c>
      <c r="S195" s="217" t="s">
        <v>230</v>
      </c>
      <c r="T195" s="217" t="s">
        <v>230</v>
      </c>
      <c r="U195" s="217" t="s">
        <v>230</v>
      </c>
      <c r="V195" s="217" t="s">
        <v>230</v>
      </c>
      <c r="W195" s="217" t="s">
        <v>230</v>
      </c>
      <c r="X195" s="217" t="s">
        <v>230</v>
      </c>
      <c r="Y195" s="217" t="s">
        <v>230</v>
      </c>
      <c r="Z195" s="217" t="s">
        <v>230</v>
      </c>
      <c r="AA195" s="573">
        <v>194</v>
      </c>
    </row>
    <row r="196" spans="1:27" ht="15">
      <c r="A196" s="166"/>
      <c r="B196" s="134" t="s">
        <v>231</v>
      </c>
      <c r="C196" s="134" t="s">
        <v>231</v>
      </c>
      <c r="D196" s="134" t="s">
        <v>231</v>
      </c>
      <c r="E196" s="134" t="s">
        <v>231</v>
      </c>
      <c r="F196" s="134" t="s">
        <v>231</v>
      </c>
      <c r="G196" s="134" t="s">
        <v>231</v>
      </c>
      <c r="H196" s="134" t="s">
        <v>231</v>
      </c>
      <c r="I196" s="217" t="s">
        <v>231</v>
      </c>
      <c r="J196" s="217" t="s">
        <v>231</v>
      </c>
      <c r="K196" s="217" t="s">
        <v>231</v>
      </c>
      <c r="L196" s="217" t="s">
        <v>231</v>
      </c>
      <c r="M196" s="217" t="s">
        <v>231</v>
      </c>
      <c r="N196" s="134" t="s">
        <v>231</v>
      </c>
      <c r="O196" s="134" t="s">
        <v>231</v>
      </c>
      <c r="P196" s="217" t="s">
        <v>231</v>
      </c>
      <c r="Q196" s="217" t="s">
        <v>231</v>
      </c>
      <c r="R196" s="217" t="s">
        <v>231</v>
      </c>
      <c r="S196" s="217" t="s">
        <v>231</v>
      </c>
      <c r="T196" s="217" t="s">
        <v>231</v>
      </c>
      <c r="U196" s="217" t="s">
        <v>231</v>
      </c>
      <c r="V196" s="217" t="s">
        <v>231</v>
      </c>
      <c r="W196" s="217" t="s">
        <v>231</v>
      </c>
      <c r="X196" s="217" t="s">
        <v>231</v>
      </c>
      <c r="Y196" s="217" t="s">
        <v>231</v>
      </c>
      <c r="Z196" s="217" t="s">
        <v>231</v>
      </c>
      <c r="AA196" s="573">
        <v>195</v>
      </c>
    </row>
    <row r="197" spans="1:27" ht="15">
      <c r="A197" s="166"/>
      <c r="B197" s="134" t="s">
        <v>232</v>
      </c>
      <c r="C197" s="134" t="s">
        <v>232</v>
      </c>
      <c r="D197" s="134" t="s">
        <v>232</v>
      </c>
      <c r="E197" s="134" t="s">
        <v>232</v>
      </c>
      <c r="F197" s="134" t="s">
        <v>232</v>
      </c>
      <c r="G197" s="134" t="s">
        <v>232</v>
      </c>
      <c r="H197" s="134" t="s">
        <v>232</v>
      </c>
      <c r="I197" s="217" t="s">
        <v>232</v>
      </c>
      <c r="J197" s="217" t="s">
        <v>232</v>
      </c>
      <c r="K197" s="217" t="s">
        <v>232</v>
      </c>
      <c r="L197" s="217" t="s">
        <v>232</v>
      </c>
      <c r="M197" s="217" t="s">
        <v>232</v>
      </c>
      <c r="N197" s="134" t="s">
        <v>232</v>
      </c>
      <c r="O197" s="134" t="s">
        <v>232</v>
      </c>
      <c r="P197" s="217" t="s">
        <v>232</v>
      </c>
      <c r="Q197" s="217" t="s">
        <v>232</v>
      </c>
      <c r="R197" s="217" t="s">
        <v>232</v>
      </c>
      <c r="S197" s="217" t="s">
        <v>232</v>
      </c>
      <c r="T197" s="217" t="s">
        <v>232</v>
      </c>
      <c r="U197" s="217" t="s">
        <v>232</v>
      </c>
      <c r="V197" s="217" t="s">
        <v>232</v>
      </c>
      <c r="W197" s="217" t="s">
        <v>232</v>
      </c>
      <c r="X197" s="217" t="s">
        <v>232</v>
      </c>
      <c r="Y197" s="217" t="s">
        <v>232</v>
      </c>
      <c r="Z197" s="217" t="s">
        <v>232</v>
      </c>
      <c r="AA197" s="573">
        <v>196</v>
      </c>
    </row>
    <row r="198" spans="1:27" ht="15">
      <c r="A198" s="166"/>
      <c r="B198" s="134" t="s">
        <v>233</v>
      </c>
      <c r="C198" s="134" t="s">
        <v>233</v>
      </c>
      <c r="D198" s="134" t="s">
        <v>233</v>
      </c>
      <c r="E198" s="134" t="s">
        <v>233</v>
      </c>
      <c r="F198" s="134" t="s">
        <v>233</v>
      </c>
      <c r="G198" s="138" t="str">
        <f>IF(AND(Configurator!$D$24&gt;"H",Configurator!$T$5="6"),"E9650387","E9650320")</f>
        <v>E9650320</v>
      </c>
      <c r="H198" s="134" t="s">
        <v>233</v>
      </c>
      <c r="I198" s="217" t="s">
        <v>233</v>
      </c>
      <c r="J198" s="217" t="s">
        <v>233</v>
      </c>
      <c r="K198" s="217" t="s">
        <v>233</v>
      </c>
      <c r="L198" s="217" t="s">
        <v>233</v>
      </c>
      <c r="M198" s="217" t="s">
        <v>233</v>
      </c>
      <c r="N198" s="134" t="s">
        <v>233</v>
      </c>
      <c r="O198" s="134" t="s">
        <v>233</v>
      </c>
      <c r="P198" s="217" t="s">
        <v>233</v>
      </c>
      <c r="Q198" s="217" t="s">
        <v>233</v>
      </c>
      <c r="R198" s="217" t="s">
        <v>233</v>
      </c>
      <c r="S198" s="217" t="s">
        <v>233</v>
      </c>
      <c r="T198" s="217" t="s">
        <v>233</v>
      </c>
      <c r="U198" s="217" t="s">
        <v>233</v>
      </c>
      <c r="V198" s="217" t="s">
        <v>233</v>
      </c>
      <c r="W198" s="217" t="s">
        <v>233</v>
      </c>
      <c r="X198" s="217" t="s">
        <v>233</v>
      </c>
      <c r="Y198" s="217" t="s">
        <v>233</v>
      </c>
      <c r="Z198" s="217" t="s">
        <v>233</v>
      </c>
      <c r="AA198" s="573">
        <v>197</v>
      </c>
    </row>
    <row r="199" spans="1:27" ht="15">
      <c r="A199" s="166"/>
      <c r="B199" s="134" t="s">
        <v>234</v>
      </c>
      <c r="C199" s="134" t="s">
        <v>234</v>
      </c>
      <c r="D199" s="134" t="s">
        <v>234</v>
      </c>
      <c r="E199" s="134" t="s">
        <v>234</v>
      </c>
      <c r="F199" s="134" t="s">
        <v>234</v>
      </c>
      <c r="G199" s="134" t="s">
        <v>234</v>
      </c>
      <c r="H199" s="134" t="s">
        <v>234</v>
      </c>
      <c r="I199" s="217" t="s">
        <v>234</v>
      </c>
      <c r="J199" s="217" t="s">
        <v>234</v>
      </c>
      <c r="K199" s="217" t="s">
        <v>234</v>
      </c>
      <c r="L199" s="217" t="s">
        <v>234</v>
      </c>
      <c r="M199" s="217" t="s">
        <v>234</v>
      </c>
      <c r="N199" s="134" t="s">
        <v>234</v>
      </c>
      <c r="O199" s="134" t="s">
        <v>234</v>
      </c>
      <c r="P199" s="217" t="s">
        <v>234</v>
      </c>
      <c r="Q199" s="217" t="s">
        <v>234</v>
      </c>
      <c r="R199" s="217" t="s">
        <v>234</v>
      </c>
      <c r="S199" s="217" t="s">
        <v>234</v>
      </c>
      <c r="T199" s="217" t="s">
        <v>234</v>
      </c>
      <c r="U199" s="217" t="s">
        <v>234</v>
      </c>
      <c r="V199" s="217" t="s">
        <v>234</v>
      </c>
      <c r="W199" s="217" t="s">
        <v>234</v>
      </c>
      <c r="X199" s="217" t="s">
        <v>234</v>
      </c>
      <c r="Y199" s="217" t="s">
        <v>234</v>
      </c>
      <c r="Z199" s="217" t="s">
        <v>234</v>
      </c>
      <c r="AA199" s="573">
        <v>198</v>
      </c>
    </row>
    <row r="200" spans="1:27" ht="15">
      <c r="A200" s="166"/>
      <c r="B200" s="134" t="s">
        <v>235</v>
      </c>
      <c r="C200" s="134" t="s">
        <v>235</v>
      </c>
      <c r="D200" s="134" t="s">
        <v>235</v>
      </c>
      <c r="E200" s="134" t="s">
        <v>235</v>
      </c>
      <c r="F200" s="134" t="s">
        <v>235</v>
      </c>
      <c r="G200" s="134" t="s">
        <v>235</v>
      </c>
      <c r="H200" s="134" t="s">
        <v>235</v>
      </c>
      <c r="I200" s="217" t="s">
        <v>235</v>
      </c>
      <c r="J200" s="217" t="s">
        <v>235</v>
      </c>
      <c r="K200" s="217" t="s">
        <v>235</v>
      </c>
      <c r="L200" s="217" t="s">
        <v>235</v>
      </c>
      <c r="M200" s="217" t="s">
        <v>235</v>
      </c>
      <c r="N200" s="134" t="s">
        <v>235</v>
      </c>
      <c r="O200" s="134" t="s">
        <v>235</v>
      </c>
      <c r="P200" s="217" t="s">
        <v>235</v>
      </c>
      <c r="Q200" s="217" t="s">
        <v>235</v>
      </c>
      <c r="R200" s="217" t="s">
        <v>235</v>
      </c>
      <c r="S200" s="217" t="s">
        <v>235</v>
      </c>
      <c r="T200" s="217" t="s">
        <v>235</v>
      </c>
      <c r="U200" s="217" t="s">
        <v>235</v>
      </c>
      <c r="V200" s="217" t="s">
        <v>235</v>
      </c>
      <c r="W200" s="217" t="s">
        <v>235</v>
      </c>
      <c r="X200" s="217" t="s">
        <v>235</v>
      </c>
      <c r="Y200" s="217" t="s">
        <v>235</v>
      </c>
      <c r="Z200" s="217" t="s">
        <v>235</v>
      </c>
      <c r="AA200" s="573">
        <v>199</v>
      </c>
    </row>
    <row r="201" spans="1:27" ht="15">
      <c r="A201" s="166"/>
      <c r="B201" s="134" t="s">
        <v>236</v>
      </c>
      <c r="C201" s="134" t="s">
        <v>236</v>
      </c>
      <c r="D201" s="134" t="s">
        <v>236</v>
      </c>
      <c r="E201" s="134" t="s">
        <v>236</v>
      </c>
      <c r="F201" s="134" t="s">
        <v>236</v>
      </c>
      <c r="G201" s="134" t="s">
        <v>236</v>
      </c>
      <c r="H201" s="134" t="s">
        <v>236</v>
      </c>
      <c r="I201" s="217" t="s">
        <v>236</v>
      </c>
      <c r="J201" s="217" t="s">
        <v>236</v>
      </c>
      <c r="K201" s="217" t="s">
        <v>236</v>
      </c>
      <c r="L201" s="217" t="s">
        <v>236</v>
      </c>
      <c r="M201" s="217" t="s">
        <v>236</v>
      </c>
      <c r="N201" s="134" t="s">
        <v>236</v>
      </c>
      <c r="O201" s="134" t="s">
        <v>236</v>
      </c>
      <c r="P201" s="217" t="s">
        <v>236</v>
      </c>
      <c r="Q201" s="217" t="s">
        <v>236</v>
      </c>
      <c r="R201" s="217" t="s">
        <v>236</v>
      </c>
      <c r="S201" s="217" t="s">
        <v>236</v>
      </c>
      <c r="T201" s="217" t="s">
        <v>236</v>
      </c>
      <c r="U201" s="217" t="s">
        <v>236</v>
      </c>
      <c r="V201" s="217" t="s">
        <v>236</v>
      </c>
      <c r="W201" s="217" t="s">
        <v>236</v>
      </c>
      <c r="X201" s="217" t="s">
        <v>236</v>
      </c>
      <c r="Y201" s="217" t="s">
        <v>236</v>
      </c>
      <c r="Z201" s="217" t="s">
        <v>236</v>
      </c>
      <c r="AA201" s="573">
        <v>200</v>
      </c>
    </row>
    <row r="202" spans="1:27" ht="15">
      <c r="A202" s="166"/>
      <c r="B202" s="134" t="s">
        <v>237</v>
      </c>
      <c r="C202" s="134" t="s">
        <v>237</v>
      </c>
      <c r="D202" s="134" t="s">
        <v>237</v>
      </c>
      <c r="E202" s="134" t="s">
        <v>237</v>
      </c>
      <c r="F202" s="134" t="s">
        <v>237</v>
      </c>
      <c r="G202" s="134" t="s">
        <v>237</v>
      </c>
      <c r="H202" s="134" t="s">
        <v>237</v>
      </c>
      <c r="I202" s="217" t="s">
        <v>237</v>
      </c>
      <c r="J202" s="217" t="s">
        <v>237</v>
      </c>
      <c r="K202" s="217" t="s">
        <v>237</v>
      </c>
      <c r="L202" s="217" t="s">
        <v>237</v>
      </c>
      <c r="M202" s="217" t="s">
        <v>237</v>
      </c>
      <c r="N202" s="134" t="s">
        <v>237</v>
      </c>
      <c r="O202" s="134" t="s">
        <v>237</v>
      </c>
      <c r="P202" s="217" t="s">
        <v>237</v>
      </c>
      <c r="Q202" s="217" t="s">
        <v>237</v>
      </c>
      <c r="R202" s="217" t="s">
        <v>237</v>
      </c>
      <c r="S202" s="217" t="s">
        <v>237</v>
      </c>
      <c r="T202" s="217" t="s">
        <v>237</v>
      </c>
      <c r="U202" s="217" t="s">
        <v>237</v>
      </c>
      <c r="V202" s="217" t="s">
        <v>237</v>
      </c>
      <c r="W202" s="217" t="s">
        <v>237</v>
      </c>
      <c r="X202" s="217" t="s">
        <v>237</v>
      </c>
      <c r="Y202" s="217" t="s">
        <v>237</v>
      </c>
      <c r="Z202" s="217" t="s">
        <v>237</v>
      </c>
      <c r="AA202" s="573">
        <v>201</v>
      </c>
    </row>
    <row r="203" spans="1:27" ht="15">
      <c r="A203" s="166"/>
      <c r="B203" s="134" t="s">
        <v>238</v>
      </c>
      <c r="C203" s="134" t="s">
        <v>238</v>
      </c>
      <c r="D203" s="134" t="s">
        <v>238</v>
      </c>
      <c r="E203" s="134" t="s">
        <v>238</v>
      </c>
      <c r="F203" s="134" t="s">
        <v>238</v>
      </c>
      <c r="G203" s="134" t="s">
        <v>238</v>
      </c>
      <c r="H203" s="134" t="s">
        <v>238</v>
      </c>
      <c r="I203" s="217" t="s">
        <v>238</v>
      </c>
      <c r="J203" s="217" t="s">
        <v>238</v>
      </c>
      <c r="K203" s="217" t="s">
        <v>238</v>
      </c>
      <c r="L203" s="217" t="s">
        <v>238</v>
      </c>
      <c r="M203" s="217" t="s">
        <v>238</v>
      </c>
      <c r="N203" s="134" t="s">
        <v>238</v>
      </c>
      <c r="O203" s="134" t="s">
        <v>238</v>
      </c>
      <c r="P203" s="217" t="s">
        <v>238</v>
      </c>
      <c r="Q203" s="217" t="s">
        <v>238</v>
      </c>
      <c r="R203" s="217" t="s">
        <v>238</v>
      </c>
      <c r="S203" s="217" t="s">
        <v>238</v>
      </c>
      <c r="T203" s="217" t="s">
        <v>238</v>
      </c>
      <c r="U203" s="217" t="s">
        <v>238</v>
      </c>
      <c r="V203" s="217" t="s">
        <v>238</v>
      </c>
      <c r="W203" s="217" t="s">
        <v>238</v>
      </c>
      <c r="X203" s="217" t="s">
        <v>238</v>
      </c>
      <c r="Y203" s="217" t="s">
        <v>238</v>
      </c>
      <c r="Z203" s="217" t="s">
        <v>238</v>
      </c>
      <c r="AA203" s="573">
        <v>202</v>
      </c>
    </row>
    <row r="204" spans="1:27" ht="15">
      <c r="A204" s="166"/>
      <c r="B204" s="145" t="s">
        <v>1073</v>
      </c>
      <c r="C204" s="145" t="s">
        <v>1073</v>
      </c>
      <c r="D204" s="145" t="s">
        <v>1073</v>
      </c>
      <c r="E204" s="151"/>
      <c r="F204" s="145" t="s">
        <v>1073</v>
      </c>
      <c r="G204" s="145" t="s">
        <v>1073</v>
      </c>
      <c r="H204" s="145" t="s">
        <v>1073</v>
      </c>
      <c r="I204" s="236" t="s">
        <v>1073</v>
      </c>
      <c r="J204" s="236" t="s">
        <v>1073</v>
      </c>
      <c r="K204" s="414"/>
      <c r="L204" s="236" t="s">
        <v>1073</v>
      </c>
      <c r="M204" s="236" t="s">
        <v>1073</v>
      </c>
      <c r="N204" s="145" t="s">
        <v>1073</v>
      </c>
      <c r="O204" s="145" t="s">
        <v>1073</v>
      </c>
      <c r="P204" s="236" t="s">
        <v>1073</v>
      </c>
      <c r="Q204" s="236" t="s">
        <v>1073</v>
      </c>
      <c r="R204" s="236" t="s">
        <v>1073</v>
      </c>
      <c r="S204" s="236" t="s">
        <v>1073</v>
      </c>
      <c r="T204" s="236" t="s">
        <v>1073</v>
      </c>
      <c r="U204" s="236" t="s">
        <v>1073</v>
      </c>
      <c r="V204" s="236" t="s">
        <v>1073</v>
      </c>
      <c r="W204" s="236" t="s">
        <v>1073</v>
      </c>
      <c r="X204" s="236" t="s">
        <v>1073</v>
      </c>
      <c r="Y204" s="236" t="s">
        <v>1073</v>
      </c>
      <c r="Z204" s="236" t="s">
        <v>1073</v>
      </c>
      <c r="AA204" s="573">
        <v>203</v>
      </c>
    </row>
    <row r="205" spans="1:27" ht="15">
      <c r="A205" s="158" t="s">
        <v>171</v>
      </c>
      <c r="B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C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D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E205" s="157" t="s">
        <v>1073</v>
      </c>
      <c r="F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G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H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I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J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K205" s="406" t="s">
        <v>1073</v>
      </c>
      <c r="L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M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N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O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P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Q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R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S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T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U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V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W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X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Y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Z205" s="415" t="str">
        <f>IF(Configurator!$D$17="0","Не поставляется с модулем RTD (плата измерения температуры)","Не поставляется с двумя  дискретными модулями")</f>
        <v>Не поставляется с двумя  дискретными модулями</v>
      </c>
      <c r="AA205" s="573">
        <v>204</v>
      </c>
    </row>
    <row r="206" spans="1:27" ht="15">
      <c r="A206" s="216"/>
      <c r="B206" s="416" t="s">
        <v>1434</v>
      </c>
      <c r="C206" s="416" t="s">
        <v>1434</v>
      </c>
      <c r="D206" s="416" t="s">
        <v>1434</v>
      </c>
      <c r="E206" s="416" t="s">
        <v>1434</v>
      </c>
      <c r="F206" s="416" t="s">
        <v>1434</v>
      </c>
      <c r="G206" s="416" t="s">
        <v>1434</v>
      </c>
      <c r="H206" s="416" t="s">
        <v>1434</v>
      </c>
      <c r="I206" s="416" t="s">
        <v>1434</v>
      </c>
      <c r="J206" s="416" t="s">
        <v>1434</v>
      </c>
      <c r="K206" s="416" t="s">
        <v>1434</v>
      </c>
      <c r="L206" s="416" t="s">
        <v>1434</v>
      </c>
      <c r="M206" s="416" t="s">
        <v>1434</v>
      </c>
      <c r="N206" s="416" t="s">
        <v>1434</v>
      </c>
      <c r="O206" s="416" t="s">
        <v>1434</v>
      </c>
      <c r="P206" s="416" t="s">
        <v>1434</v>
      </c>
      <c r="Q206" s="416" t="s">
        <v>1434</v>
      </c>
      <c r="R206" s="416" t="s">
        <v>1434</v>
      </c>
      <c r="S206" s="416" t="s">
        <v>1434</v>
      </c>
      <c r="T206" s="416" t="s">
        <v>1434</v>
      </c>
      <c r="U206" s="416" t="s">
        <v>1434</v>
      </c>
      <c r="V206" s="416" t="s">
        <v>1434</v>
      </c>
      <c r="W206" s="416" t="s">
        <v>1434</v>
      </c>
      <c r="X206" s="416" t="s">
        <v>1434</v>
      </c>
      <c r="Y206" s="416" t="s">
        <v>1434</v>
      </c>
      <c r="Z206" s="416" t="s">
        <v>1434</v>
      </c>
      <c r="AA206" s="573">
        <v>205</v>
      </c>
    </row>
    <row r="207" spans="1:27" ht="15">
      <c r="A207" s="216"/>
      <c r="B207" s="416" t="s">
        <v>1435</v>
      </c>
      <c r="C207" s="416" t="s">
        <v>1435</v>
      </c>
      <c r="D207" s="416" t="s">
        <v>1435</v>
      </c>
      <c r="E207" s="416" t="s">
        <v>1435</v>
      </c>
      <c r="F207" s="416" t="s">
        <v>1435</v>
      </c>
      <c r="G207" s="416" t="s">
        <v>1435</v>
      </c>
      <c r="H207" s="416" t="s">
        <v>1435</v>
      </c>
      <c r="I207" s="416" t="s">
        <v>1435</v>
      </c>
      <c r="J207" s="416" t="s">
        <v>1435</v>
      </c>
      <c r="K207" s="416" t="s">
        <v>1435</v>
      </c>
      <c r="L207" s="416" t="s">
        <v>1435</v>
      </c>
      <c r="M207" s="416" t="s">
        <v>1435</v>
      </c>
      <c r="N207" s="416" t="s">
        <v>1435</v>
      </c>
      <c r="O207" s="416" t="s">
        <v>1435</v>
      </c>
      <c r="P207" s="416" t="s">
        <v>1435</v>
      </c>
      <c r="Q207" s="416" t="s">
        <v>1435</v>
      </c>
      <c r="R207" s="416" t="s">
        <v>1435</v>
      </c>
      <c r="S207" s="416" t="s">
        <v>1435</v>
      </c>
      <c r="T207" s="416" t="s">
        <v>1435</v>
      </c>
      <c r="U207" s="416" t="s">
        <v>1435</v>
      </c>
      <c r="V207" s="416" t="s">
        <v>1435</v>
      </c>
      <c r="W207" s="416" t="s">
        <v>1435</v>
      </c>
      <c r="X207" s="416" t="s">
        <v>1435</v>
      </c>
      <c r="Y207" s="416" t="s">
        <v>1435</v>
      </c>
      <c r="Z207" s="416" t="s">
        <v>1435</v>
      </c>
      <c r="AA207" s="573">
        <v>206</v>
      </c>
    </row>
    <row r="208" spans="1:27" s="256" customFormat="1" ht="15">
      <c r="A208" s="255"/>
      <c r="B208" s="163" t="str">
        <f>IF(Configurator!$D$29=0," (2-pole) "," (1-pole) ")</f>
        <v> (2-pole) </v>
      </c>
      <c r="C208" s="163" t="str">
        <f>IF(Configurator!$D$29=0," (2-pole) "," (1-pole) ")</f>
        <v> (2-pole) </v>
      </c>
      <c r="D208" s="163" t="str">
        <f>IF(Configurator!$D$29=0," (2-pole) "," (1-pole) ")</f>
        <v> (2-pole) </v>
      </c>
      <c r="E208" s="163" t="str">
        <f>IF(Configurator!$D$29=0," (2-pole) "," (1-pole) ")</f>
        <v> (2-pole) </v>
      </c>
      <c r="F208" s="163" t="str">
        <f>IF(Configurator!$D$29=0," (2-pole) "," (1-pole) ")</f>
        <v> (2-pole) </v>
      </c>
      <c r="G208" s="163" t="str">
        <f>IF(Configurator!$D$29=0," (2-pole) "," (1-pole) ")</f>
        <v> (2-pole) </v>
      </c>
      <c r="H208" s="163" t="str">
        <f>IF(Configurator!$D$29=0," (2-pole) "," (1-pole) ")</f>
        <v> (2-pole) </v>
      </c>
      <c r="I208" s="417" t="str">
        <f>IF(Configurator!$D$29=0," (2-pole) "," (1-pole) ")</f>
        <v> (2-pole) </v>
      </c>
      <c r="J208" s="417" t="str">
        <f>IF(Configurator!$D$29=0," (2-pole) "," (1-pole) ")</f>
        <v> (2-pole) </v>
      </c>
      <c r="K208" s="417" t="str">
        <f>IF(Configurator!$D$29=0," (2-pole) "," (1-pole) ")</f>
        <v> (2-pole) </v>
      </c>
      <c r="L208" s="417" t="str">
        <f>IF(Configurator!$D$29=0," (2-pole) "," (1-pole) ")</f>
        <v> (2-pole) </v>
      </c>
      <c r="M208" s="417" t="str">
        <f>IF(Configurator!$D$29=0," (2-pole) "," (1-pole) ")</f>
        <v> (2-pole) </v>
      </c>
      <c r="N208" s="163" t="str">
        <f>IF(Configurator!$D$29=0," (2-pole) "," (1-pole) ")</f>
        <v> (2-pole) </v>
      </c>
      <c r="O208" s="163" t="str">
        <f>IF(Configurator!$D$29=0," (2-pole) "," (1-pole) ")</f>
        <v> (2-pole) </v>
      </c>
      <c r="P208" s="417" t="str">
        <f>IF(Configurator!$D$29=0," (2-pole) "," (1-pole) ")</f>
        <v> (2-pole) </v>
      </c>
      <c r="Q208" s="417" t="str">
        <f>IF(Configurator!$D$29=0," (2-pole) "," (1-pole) ")</f>
        <v> (2-pole) </v>
      </c>
      <c r="R208" s="417" t="str">
        <f>IF(Configurator!$D$29=0," (2-pole) "," (1-pole) ")</f>
        <v> (2-pole) </v>
      </c>
      <c r="S208" s="417" t="str">
        <f>IF(Configurator!$D$29=0," (2-pole) "," (1-pole) ")</f>
        <v> (2-pole) </v>
      </c>
      <c r="T208" s="417" t="str">
        <f>IF(Configurator!$D$29=0," (2-pole) "," (1-pole) ")</f>
        <v> (2-pole) </v>
      </c>
      <c r="U208" s="417" t="str">
        <f>IF(Configurator!$D$29=0," (2-pole) "," (1-pole) ")</f>
        <v> (2-pole) </v>
      </c>
      <c r="V208" s="417" t="str">
        <f>IF(Configurator!$D$29=0," (2-pole) "," (1-pole) ")</f>
        <v> (2-pole) </v>
      </c>
      <c r="W208" s="417" t="str">
        <f>IF(Configurator!$D$29=0," (2-pole) "," (1-pole) ")</f>
        <v> (2-pole) </v>
      </c>
      <c r="X208" s="417" t="str">
        <f>IF(Configurator!$D$29=0," (2-pole) "," (1-pole) ")</f>
        <v> (2-pole) </v>
      </c>
      <c r="Y208" s="417" t="str">
        <f>IF(Configurator!$D$29=0," (2-pole) "," (1-pole) ")</f>
        <v> (2-pole) </v>
      </c>
      <c r="Z208" s="417" t="str">
        <f>IF(Configurator!$D$29=0," (2-pole) "," (1-pole) ")</f>
        <v> (2-pole) </v>
      </c>
      <c r="AA208" s="573">
        <v>207</v>
      </c>
    </row>
    <row r="209" spans="1:27" ht="15">
      <c r="A209" s="216"/>
      <c r="B209" s="285" t="s">
        <v>1436</v>
      </c>
      <c r="C209" s="285" t="s">
        <v>1436</v>
      </c>
      <c r="D209" s="285" t="s">
        <v>1436</v>
      </c>
      <c r="E209" s="285" t="s">
        <v>1436</v>
      </c>
      <c r="F209" s="285" t="s">
        <v>1436</v>
      </c>
      <c r="G209" s="285" t="s">
        <v>1436</v>
      </c>
      <c r="H209" s="285" t="s">
        <v>1436</v>
      </c>
      <c r="I209" s="285" t="s">
        <v>1436</v>
      </c>
      <c r="J209" s="285" t="s">
        <v>1436</v>
      </c>
      <c r="K209" s="285" t="s">
        <v>1436</v>
      </c>
      <c r="L209" s="285" t="s">
        <v>1436</v>
      </c>
      <c r="M209" s="285" t="s">
        <v>1436</v>
      </c>
      <c r="N209" s="285" t="s">
        <v>1436</v>
      </c>
      <c r="O209" s="285" t="s">
        <v>1436</v>
      </c>
      <c r="P209" s="285" t="s">
        <v>1436</v>
      </c>
      <c r="Q209" s="285" t="s">
        <v>1436</v>
      </c>
      <c r="R209" s="285" t="s">
        <v>1436</v>
      </c>
      <c r="S209" s="285" t="s">
        <v>1436</v>
      </c>
      <c r="T209" s="285" t="s">
        <v>1436</v>
      </c>
      <c r="U209" s="285" t="s">
        <v>1436</v>
      </c>
      <c r="V209" s="285" t="s">
        <v>1436</v>
      </c>
      <c r="W209" s="285" t="s">
        <v>1436</v>
      </c>
      <c r="X209" s="285" t="s">
        <v>1436</v>
      </c>
      <c r="Y209" s="285" t="s">
        <v>1436</v>
      </c>
      <c r="Z209" s="285" t="s">
        <v>1436</v>
      </c>
      <c r="AA209" s="573">
        <v>208</v>
      </c>
    </row>
    <row r="210" spans="1:27" ht="15">
      <c r="A210" s="216"/>
      <c r="B210" s="138" t="str">
        <f>IF(AND(Configurator!$D$24&gt;"H",Configurator!$T$5="6"),"E9651367","E9650564")</f>
        <v>E9650564</v>
      </c>
      <c r="C210" s="138" t="str">
        <f>IF(AND(Configurator!$D$24&gt;"H",Configurator!$T$5="6"),"E9651367","E9650564")</f>
        <v>E9650564</v>
      </c>
      <c r="D210" s="138" t="str">
        <f>IF(AND(Configurator!$D$24&gt;"H",Configurator!$T$5="6"),"E9651367","E9650564")</f>
        <v>E9650564</v>
      </c>
      <c r="E210" s="138" t="str">
        <f>IF(AND(Configurator!$D$24&gt;"H",Configurator!$T$5="6"),"E9651367","E9650564")</f>
        <v>E9650564</v>
      </c>
      <c r="F210" s="138" t="str">
        <f>IF(AND(Configurator!$D$24&gt;"H",Configurator!$T$5="6"),"E9651367","E9650564")</f>
        <v>E9650564</v>
      </c>
      <c r="G210" s="138" t="str">
        <f>IF(AND(Configurator!$D$24&gt;"H",Configurator!$T$5="6"),"E9651367","E9650564")</f>
        <v>E9650564</v>
      </c>
      <c r="H210" s="138" t="str">
        <f>IF(AND(Configurator!$D$24&gt;"H",Configurator!$T$5="6"),"E9651367","E9650564")</f>
        <v>E9650564</v>
      </c>
      <c r="I210" s="227" t="s">
        <v>228</v>
      </c>
      <c r="J210" s="227" t="s">
        <v>228</v>
      </c>
      <c r="K210" s="227" t="str">
        <f>IF(AND(Configurator!$D$24&gt;"H",Configurator!$T$5="6"),"E9651367","E9650564")</f>
        <v>E9650564</v>
      </c>
      <c r="L210" s="227" t="s">
        <v>228</v>
      </c>
      <c r="M210" s="227" t="s">
        <v>228</v>
      </c>
      <c r="N210" s="138" t="str">
        <f>IF(AND(Configurator!$D$24&gt;"H",Configurator!$T$5="6"),"E9651367","E9650564")</f>
        <v>E9650564</v>
      </c>
      <c r="O210" s="138" t="str">
        <f>IF(AND(Configurator!$D$24&gt;"H",Configurator!$T$5="6"),"E9651367","E9650564")</f>
        <v>E9650564</v>
      </c>
      <c r="P210" s="227" t="s">
        <v>228</v>
      </c>
      <c r="Q210" s="227" t="s">
        <v>228</v>
      </c>
      <c r="R210" s="227" t="s">
        <v>228</v>
      </c>
      <c r="S210" s="227" t="s">
        <v>228</v>
      </c>
      <c r="T210" s="227" t="s">
        <v>228</v>
      </c>
      <c r="U210" s="227" t="s">
        <v>228</v>
      </c>
      <c r="V210" s="227" t="s">
        <v>228</v>
      </c>
      <c r="W210" s="227" t="s">
        <v>228</v>
      </c>
      <c r="X210" s="227" t="s">
        <v>228</v>
      </c>
      <c r="Y210" s="227" t="s">
        <v>228</v>
      </c>
      <c r="Z210" s="227" t="s">
        <v>228</v>
      </c>
      <c r="AA210" s="573">
        <v>209</v>
      </c>
    </row>
    <row r="211" spans="2:27" ht="15">
      <c r="B211" s="138" t="str">
        <f>IF(AND(Configurator!$D$24&gt;"H",Configurator!$T$5="6"),"E9651908","E9650740")</f>
        <v>E9650740</v>
      </c>
      <c r="C211" s="138" t="str">
        <f>IF(AND(Configurator!$D$24&gt;"H",Configurator!$T$5="6"),"E9651908","E9650740")</f>
        <v>E9650740</v>
      </c>
      <c r="D211" s="138" t="str">
        <f>IF(AND(Configurator!$D$24&gt;"H",Configurator!$T$5="6"),"E9651908","E9650740")</f>
        <v>E9650740</v>
      </c>
      <c r="E211" s="138" t="str">
        <f>IF(AND(Configurator!$D$24&gt;"H",Configurator!$T$5="6"),"E9651908","E9650740")</f>
        <v>E9650740</v>
      </c>
      <c r="F211" s="138" t="str">
        <f>IF(AND(Configurator!$D$24&gt;"H",Configurator!$T$5="6"),"E9651908","E9650740")</f>
        <v>E9650740</v>
      </c>
      <c r="G211" s="138" t="str">
        <f>IF(AND(Configurator!$D$24&gt;"H",Configurator!$T$5="6"),"E9651908","E9650740")</f>
        <v>E9650740</v>
      </c>
      <c r="H211" s="138" t="str">
        <f>IF(AND(Configurator!$D$24&gt;"H",Configurator!$T$5="6"),"E9651908","E9650740")</f>
        <v>E9650740</v>
      </c>
      <c r="I211" s="227" t="s">
        <v>40</v>
      </c>
      <c r="J211" s="227" t="s">
        <v>40</v>
      </c>
      <c r="K211" s="227" t="str">
        <f>IF(AND(Configurator!$D$24&gt;"H",Configurator!$T$5="6"),"E9651908","E9650740")</f>
        <v>E9650740</v>
      </c>
      <c r="L211" s="227" t="s">
        <v>40</v>
      </c>
      <c r="M211" s="227" t="s">
        <v>40</v>
      </c>
      <c r="N211" s="138" t="str">
        <f>IF(AND(Configurator!$D$24&gt;"H",Configurator!$T$5="6"),"E9651908","E9650740")</f>
        <v>E9650740</v>
      </c>
      <c r="O211" s="138" t="str">
        <f>IF(AND(Configurator!$D$24&gt;"H",Configurator!$T$5="6"),"E9651908","E9650740")</f>
        <v>E9650740</v>
      </c>
      <c r="P211" s="227" t="s">
        <v>40</v>
      </c>
      <c r="Q211" s="227" t="s">
        <v>40</v>
      </c>
      <c r="R211" s="227" t="s">
        <v>40</v>
      </c>
      <c r="S211" s="227" t="s">
        <v>40</v>
      </c>
      <c r="T211" s="227" t="s">
        <v>40</v>
      </c>
      <c r="U211" s="227" t="s">
        <v>40</v>
      </c>
      <c r="V211" s="227" t="s">
        <v>40</v>
      </c>
      <c r="W211" s="227" t="s">
        <v>40</v>
      </c>
      <c r="X211" s="227" t="s">
        <v>40</v>
      </c>
      <c r="Y211" s="227" t="s">
        <v>40</v>
      </c>
      <c r="Z211" s="227" t="s">
        <v>40</v>
      </c>
      <c r="AA211" s="573">
        <v>210</v>
      </c>
    </row>
    <row r="212" spans="2:27" ht="15">
      <c r="B212" s="138" t="str">
        <f>IF(AND(Configurator!$D$24&gt;"H",Configurator!$T$5="6"),"E9651914","E9650551")</f>
        <v>E9650551</v>
      </c>
      <c r="C212" s="138" t="str">
        <f>IF(AND(Configurator!$D$24&gt;"H",Configurator!$T$5="6"),"E9651914","E9650551")</f>
        <v>E9650551</v>
      </c>
      <c r="D212" s="138" t="str">
        <f>IF(AND(Configurator!$D$24&gt;"H",Configurator!$T$5="6"),"E9651914","E9650551")</f>
        <v>E9650551</v>
      </c>
      <c r="E212" s="138" t="str">
        <f>IF(AND(Configurator!$D$24&gt;"H",Configurator!$T$5="6"),"E9651914","E9650551")</f>
        <v>E9650551</v>
      </c>
      <c r="F212" s="138" t="str">
        <f>IF(AND(Configurator!$D$24&gt;"H",Configurator!$T$5="6"),"E9651914","E9650551")</f>
        <v>E9650551</v>
      </c>
      <c r="G212" s="138" t="str">
        <f>IF(AND(Configurator!$D$24&gt;"H",Configurator!$T$5="6"),"E9651914","E9650551")</f>
        <v>E9650551</v>
      </c>
      <c r="H212" s="138" t="str">
        <f>IF(AND(Configurator!$D$24&gt;"H",Configurator!$T$5="6"),"E9651914","E9650551")</f>
        <v>E9650551</v>
      </c>
      <c r="I212" s="227" t="s">
        <v>239</v>
      </c>
      <c r="J212" s="227" t="s">
        <v>239</v>
      </c>
      <c r="K212" s="227" t="str">
        <f>IF(AND(Configurator!$D$24&gt;"H",Configurator!$T$5="6"),"E9651914","E9650551")</f>
        <v>E9650551</v>
      </c>
      <c r="L212" s="227" t="s">
        <v>239</v>
      </c>
      <c r="M212" s="227" t="s">
        <v>239</v>
      </c>
      <c r="N212" s="138" t="str">
        <f>IF(AND(Configurator!$D$24&gt;"H",Configurator!$T$5="6"),"E9651914","E9650551")</f>
        <v>E9650551</v>
      </c>
      <c r="O212" s="138" t="str">
        <f>IF(AND(Configurator!$D$24&gt;"H",Configurator!$T$5="6"),"E9651914","E9650551")</f>
        <v>E9650551</v>
      </c>
      <c r="P212" s="227" t="s">
        <v>239</v>
      </c>
      <c r="Q212" s="227" t="s">
        <v>239</v>
      </c>
      <c r="R212" s="227" t="s">
        <v>239</v>
      </c>
      <c r="S212" s="227" t="s">
        <v>239</v>
      </c>
      <c r="T212" s="227" t="s">
        <v>239</v>
      </c>
      <c r="U212" s="227" t="s">
        <v>239</v>
      </c>
      <c r="V212" s="227" t="s">
        <v>239</v>
      </c>
      <c r="W212" s="227" t="s">
        <v>239</v>
      </c>
      <c r="X212" s="227" t="s">
        <v>239</v>
      </c>
      <c r="Y212" s="227" t="s">
        <v>239</v>
      </c>
      <c r="Z212" s="227" t="s">
        <v>239</v>
      </c>
      <c r="AA212" s="573">
        <v>211</v>
      </c>
    </row>
    <row r="213" spans="2:27" ht="15">
      <c r="B213" s="138" t="str">
        <f>IF(AND(Configurator!$D$24&gt;"H",Configurator!$T$5="6"),"E9651366","E9650552")</f>
        <v>E9650552</v>
      </c>
      <c r="C213" s="138" t="str">
        <f>IF(AND(Configurator!$D$24&gt;"H",Configurator!$T$5="6"),"E9651366","E9650552")</f>
        <v>E9650552</v>
      </c>
      <c r="D213" s="138" t="str">
        <f>IF(AND(Configurator!$D$24&gt;"H",Configurator!$T$5="6"),"E9651366","E9650552")</f>
        <v>E9650552</v>
      </c>
      <c r="E213" s="138" t="str">
        <f>IF(AND(Configurator!$D$24&gt;"H",Configurator!$T$5="6"),"E9651366","E9650552")</f>
        <v>E9650552</v>
      </c>
      <c r="F213" s="138" t="str">
        <f>IF(AND(Configurator!$D$24&gt;"H",Configurator!$T$5="6"),"E9651366","E9650552")</f>
        <v>E9650552</v>
      </c>
      <c r="G213" s="138" t="str">
        <f>IF(AND(Configurator!$D$24&gt;"H",Configurator!$T$5="6"),"E9651366","E9650552")</f>
        <v>E9650552</v>
      </c>
      <c r="H213" s="138" t="str">
        <f>IF(AND(Configurator!$D$24&gt;"H",Configurator!$T$5="6"),"E9651366","E9650552")</f>
        <v>E9650552</v>
      </c>
      <c r="I213" s="227" t="s">
        <v>229</v>
      </c>
      <c r="J213" s="227" t="s">
        <v>229</v>
      </c>
      <c r="K213" s="227" t="str">
        <f>IF(AND(Configurator!$D$24&gt;"H",Configurator!$T$5="6"),"E9651366","E9650552")</f>
        <v>E9650552</v>
      </c>
      <c r="L213" s="227" t="s">
        <v>229</v>
      </c>
      <c r="M213" s="227" t="s">
        <v>229</v>
      </c>
      <c r="N213" s="138" t="str">
        <f>IF(AND(Configurator!$D$24&gt;"H",Configurator!$T$5="6"),"E9651366","E9650552")</f>
        <v>E9650552</v>
      </c>
      <c r="O213" s="138" t="str">
        <f>IF(AND(Configurator!$D$24&gt;"H",Configurator!$T$5="6"),"E9651366","E9650552")</f>
        <v>E9650552</v>
      </c>
      <c r="P213" s="227" t="s">
        <v>229</v>
      </c>
      <c r="Q213" s="227" t="s">
        <v>229</v>
      </c>
      <c r="R213" s="227" t="s">
        <v>229</v>
      </c>
      <c r="S213" s="227" t="s">
        <v>229</v>
      </c>
      <c r="T213" s="227" t="s">
        <v>229</v>
      </c>
      <c r="U213" s="227" t="s">
        <v>229</v>
      </c>
      <c r="V213" s="227" t="s">
        <v>229</v>
      </c>
      <c r="W213" s="227" t="s">
        <v>229</v>
      </c>
      <c r="X213" s="227" t="s">
        <v>229</v>
      </c>
      <c r="Y213" s="227" t="s">
        <v>229</v>
      </c>
      <c r="Z213" s="227" t="s">
        <v>229</v>
      </c>
      <c r="AA213" s="573">
        <v>212</v>
      </c>
    </row>
    <row r="214" spans="1:27" ht="15">
      <c r="A214" s="135" t="s">
        <v>240</v>
      </c>
      <c r="B214" s="129" t="s">
        <v>1073</v>
      </c>
      <c r="C214" s="129" t="s">
        <v>1073</v>
      </c>
      <c r="D214" s="129" t="s">
        <v>1073</v>
      </c>
      <c r="E214" s="129" t="s">
        <v>1073</v>
      </c>
      <c r="F214" s="129" t="s">
        <v>1073</v>
      </c>
      <c r="G214" s="129" t="s">
        <v>1073</v>
      </c>
      <c r="H214" s="129" t="s">
        <v>1073</v>
      </c>
      <c r="I214" s="416" t="s">
        <v>1387</v>
      </c>
      <c r="J214" s="416" t="s">
        <v>1387</v>
      </c>
      <c r="K214" s="401" t="s">
        <v>1073</v>
      </c>
      <c r="L214" s="416" t="s">
        <v>1387</v>
      </c>
      <c r="M214" s="416" t="s">
        <v>1387</v>
      </c>
      <c r="N214" s="129" t="s">
        <v>1073</v>
      </c>
      <c r="O214" s="129" t="s">
        <v>1073</v>
      </c>
      <c r="P214" s="416" t="s">
        <v>1387</v>
      </c>
      <c r="Q214" s="416" t="s">
        <v>1387</v>
      </c>
      <c r="R214" s="416" t="s">
        <v>1387</v>
      </c>
      <c r="S214" s="416" t="s">
        <v>1387</v>
      </c>
      <c r="T214" s="416" t="s">
        <v>1387</v>
      </c>
      <c r="U214" s="416" t="s">
        <v>1387</v>
      </c>
      <c r="V214" s="416" t="s">
        <v>1387</v>
      </c>
      <c r="W214" s="416" t="s">
        <v>1387</v>
      </c>
      <c r="X214" s="416" t="s">
        <v>1387</v>
      </c>
      <c r="Y214" s="416" t="s">
        <v>1387</v>
      </c>
      <c r="Z214" s="416" t="s">
        <v>1387</v>
      </c>
      <c r="AA214" s="573">
        <v>213</v>
      </c>
    </row>
    <row r="215" spans="2:27" ht="15">
      <c r="B215" s="129" t="s">
        <v>1073</v>
      </c>
      <c r="C215" s="129" t="s">
        <v>1073</v>
      </c>
      <c r="D215" s="129" t="s">
        <v>1073</v>
      </c>
      <c r="E215" s="129" t="s">
        <v>1073</v>
      </c>
      <c r="F215" s="129" t="s">
        <v>1073</v>
      </c>
      <c r="G215" s="129" t="s">
        <v>1073</v>
      </c>
      <c r="H215" s="129" t="s">
        <v>1073</v>
      </c>
      <c r="I215" s="416" t="s">
        <v>1385</v>
      </c>
      <c r="J215" s="416" t="s">
        <v>1385</v>
      </c>
      <c r="K215" s="401" t="s">
        <v>1073</v>
      </c>
      <c r="L215" s="416" t="s">
        <v>1385</v>
      </c>
      <c r="M215" s="416" t="s">
        <v>1385</v>
      </c>
      <c r="N215" s="129" t="s">
        <v>1073</v>
      </c>
      <c r="O215" s="129" t="s">
        <v>1073</v>
      </c>
      <c r="P215" s="416" t="s">
        <v>1385</v>
      </c>
      <c r="Q215" s="416" t="s">
        <v>1385</v>
      </c>
      <c r="R215" s="416" t="s">
        <v>1385</v>
      </c>
      <c r="S215" s="416" t="s">
        <v>1385</v>
      </c>
      <c r="T215" s="416" t="s">
        <v>1385</v>
      </c>
      <c r="U215" s="416" t="s">
        <v>1385</v>
      </c>
      <c r="V215" s="416" t="s">
        <v>1385</v>
      </c>
      <c r="W215" s="416" t="s">
        <v>1385</v>
      </c>
      <c r="X215" s="416" t="s">
        <v>1385</v>
      </c>
      <c r="Y215" s="416" t="s">
        <v>1385</v>
      </c>
      <c r="Z215" s="416" t="s">
        <v>1385</v>
      </c>
      <c r="AA215" s="573">
        <v>214</v>
      </c>
    </row>
    <row r="216" spans="1:27" ht="15">
      <c r="A216" s="158" t="s">
        <v>241</v>
      </c>
      <c r="B216" s="407" t="s">
        <v>1476</v>
      </c>
      <c r="C216" s="407" t="s">
        <v>1476</v>
      </c>
      <c r="D216" s="407" t="s">
        <v>1476</v>
      </c>
      <c r="E216" s="407" t="s">
        <v>1476</v>
      </c>
      <c r="F216" s="407" t="s">
        <v>1476</v>
      </c>
      <c r="G216" s="407" t="s">
        <v>1476</v>
      </c>
      <c r="H216" s="407" t="s">
        <v>1476</v>
      </c>
      <c r="I216" s="407" t="s">
        <v>1476</v>
      </c>
      <c r="J216" s="407" t="s">
        <v>1476</v>
      </c>
      <c r="K216" s="407" t="s">
        <v>1476</v>
      </c>
      <c r="L216" s="407" t="s">
        <v>1476</v>
      </c>
      <c r="M216" s="407" t="s">
        <v>1476</v>
      </c>
      <c r="N216" s="407" t="s">
        <v>1476</v>
      </c>
      <c r="O216" s="407" t="s">
        <v>1476</v>
      </c>
      <c r="P216" s="407" t="s">
        <v>1476</v>
      </c>
      <c r="Q216" s="407" t="s">
        <v>1476</v>
      </c>
      <c r="R216" s="407" t="s">
        <v>1476</v>
      </c>
      <c r="S216" s="407" t="s">
        <v>1476</v>
      </c>
      <c r="T216" s="407" t="s">
        <v>1476</v>
      </c>
      <c r="U216" s="407" t="s">
        <v>1476</v>
      </c>
      <c r="V216" s="407" t="s">
        <v>1476</v>
      </c>
      <c r="W216" s="407" t="s">
        <v>1476</v>
      </c>
      <c r="X216" s="407" t="s">
        <v>1476</v>
      </c>
      <c r="Y216" s="407" t="s">
        <v>1476</v>
      </c>
      <c r="Z216" s="407" t="s">
        <v>1476</v>
      </c>
      <c r="AA216" s="573">
        <v>215</v>
      </c>
    </row>
    <row r="217" spans="1:27" ht="43.5">
      <c r="A217" s="135" t="s">
        <v>961</v>
      </c>
      <c r="B217" s="312" t="s">
        <v>1073</v>
      </c>
      <c r="C217" s="312" t="s">
        <v>1073</v>
      </c>
      <c r="D217" s="312" t="s">
        <v>1073</v>
      </c>
      <c r="E217" s="312" t="s">
        <v>1073</v>
      </c>
      <c r="F217" s="312" t="s">
        <v>1073</v>
      </c>
      <c r="G217" s="312" t="s">
        <v>1073</v>
      </c>
      <c r="H217" s="312" t="s">
        <v>1073</v>
      </c>
      <c r="I217" s="312" t="s">
        <v>1073</v>
      </c>
      <c r="J217" s="312" t="s">
        <v>1073</v>
      </c>
      <c r="K217" s="312" t="s">
        <v>1073</v>
      </c>
      <c r="L217" s="310" t="s">
        <v>1462</v>
      </c>
      <c r="M217" s="310" t="s">
        <v>1462</v>
      </c>
      <c r="N217" s="312" t="s">
        <v>1073</v>
      </c>
      <c r="O217" s="312" t="s">
        <v>1073</v>
      </c>
      <c r="P217" s="310" t="s">
        <v>1462</v>
      </c>
      <c r="Q217" s="310" t="s">
        <v>1462</v>
      </c>
      <c r="R217" s="310" t="s">
        <v>1462</v>
      </c>
      <c r="S217" s="310" t="s">
        <v>1462</v>
      </c>
      <c r="T217" s="312" t="s">
        <v>1073</v>
      </c>
      <c r="U217" s="312" t="s">
        <v>1073</v>
      </c>
      <c r="V217" s="312" t="s">
        <v>1073</v>
      </c>
      <c r="W217" s="312" t="s">
        <v>1073</v>
      </c>
      <c r="X217" s="310" t="s">
        <v>1462</v>
      </c>
      <c r="Y217" s="310" t="s">
        <v>1462</v>
      </c>
      <c r="Z217" s="310" t="s">
        <v>1462</v>
      </c>
      <c r="AA217" s="573">
        <v>216</v>
      </c>
    </row>
    <row r="218" spans="2:27" ht="51">
      <c r="B218" s="309" t="s">
        <v>1073</v>
      </c>
      <c r="C218" s="309" t="s">
        <v>1073</v>
      </c>
      <c r="D218" s="309" t="s">
        <v>1073</v>
      </c>
      <c r="E218" s="309" t="s">
        <v>1073</v>
      </c>
      <c r="F218" s="309" t="s">
        <v>1073</v>
      </c>
      <c r="G218" s="309" t="s">
        <v>1073</v>
      </c>
      <c r="H218" s="309" t="s">
        <v>1073</v>
      </c>
      <c r="I218" s="309" t="s">
        <v>1073</v>
      </c>
      <c r="J218" s="309" t="s">
        <v>1073</v>
      </c>
      <c r="K218" s="309" t="s">
        <v>1073</v>
      </c>
      <c r="L218" s="559" t="s">
        <v>1355</v>
      </c>
      <c r="M218" s="559" t="s">
        <v>1355</v>
      </c>
      <c r="N218" s="309" t="s">
        <v>1073</v>
      </c>
      <c r="O218" s="309" t="s">
        <v>1073</v>
      </c>
      <c r="P218" s="559" t="s">
        <v>1355</v>
      </c>
      <c r="Q218" s="559" t="s">
        <v>1355</v>
      </c>
      <c r="R218" s="559" t="s">
        <v>1355</v>
      </c>
      <c r="S218" s="559" t="s">
        <v>1355</v>
      </c>
      <c r="T218" s="309" t="s">
        <v>1073</v>
      </c>
      <c r="U218" s="309" t="s">
        <v>1073</v>
      </c>
      <c r="V218" s="309" t="s">
        <v>1073</v>
      </c>
      <c r="W218" s="309" t="s">
        <v>1073</v>
      </c>
      <c r="X218" s="559" t="s">
        <v>1355</v>
      </c>
      <c r="Y218" s="559" t="s">
        <v>1355</v>
      </c>
      <c r="Z218" s="559" t="s">
        <v>1355</v>
      </c>
      <c r="AA218" s="573">
        <v>217</v>
      </c>
    </row>
    <row r="219" spans="2:27" ht="57.75">
      <c r="B219" s="309" t="s">
        <v>1073</v>
      </c>
      <c r="C219" s="309" t="s">
        <v>1073</v>
      </c>
      <c r="D219" s="309" t="s">
        <v>1073</v>
      </c>
      <c r="E219" s="309" t="s">
        <v>1073</v>
      </c>
      <c r="F219" s="309" t="s">
        <v>1073</v>
      </c>
      <c r="G219" s="309" t="s">
        <v>1073</v>
      </c>
      <c r="H219" s="309" t="s">
        <v>1073</v>
      </c>
      <c r="I219" s="309" t="s">
        <v>1073</v>
      </c>
      <c r="J219" s="309" t="s">
        <v>1073</v>
      </c>
      <c r="K219" s="309" t="s">
        <v>1073</v>
      </c>
      <c r="L219" s="237" t="s">
        <v>1353</v>
      </c>
      <c r="M219" s="237" t="s">
        <v>1353</v>
      </c>
      <c r="N219" s="309" t="s">
        <v>1073</v>
      </c>
      <c r="O219" s="309" t="s">
        <v>1073</v>
      </c>
      <c r="P219" s="237" t="s">
        <v>1353</v>
      </c>
      <c r="Q219" s="237" t="s">
        <v>1353</v>
      </c>
      <c r="R219" s="237" t="s">
        <v>1353</v>
      </c>
      <c r="S219" s="237" t="s">
        <v>1353</v>
      </c>
      <c r="T219" s="309" t="s">
        <v>1073</v>
      </c>
      <c r="U219" s="309" t="s">
        <v>1073</v>
      </c>
      <c r="V219" s="309" t="s">
        <v>1073</v>
      </c>
      <c r="W219" s="309" t="s">
        <v>1073</v>
      </c>
      <c r="X219" s="237" t="s">
        <v>1353</v>
      </c>
      <c r="Y219" s="237" t="s">
        <v>1353</v>
      </c>
      <c r="Z219" s="237" t="s">
        <v>1353</v>
      </c>
      <c r="AA219" s="573">
        <v>218</v>
      </c>
    </row>
    <row r="220" spans="2:27" ht="72">
      <c r="B220" s="309" t="s">
        <v>1073</v>
      </c>
      <c r="C220" s="309" t="s">
        <v>1073</v>
      </c>
      <c r="D220" s="309" t="s">
        <v>1073</v>
      </c>
      <c r="E220" s="309" t="s">
        <v>1073</v>
      </c>
      <c r="F220" s="309" t="s">
        <v>1073</v>
      </c>
      <c r="G220" s="309" t="s">
        <v>1073</v>
      </c>
      <c r="H220" s="309" t="s">
        <v>1073</v>
      </c>
      <c r="I220" s="309" t="s">
        <v>1073</v>
      </c>
      <c r="J220" s="309" t="s">
        <v>1073</v>
      </c>
      <c r="K220" s="309" t="s">
        <v>1073</v>
      </c>
      <c r="L220" s="237" t="s">
        <v>1351</v>
      </c>
      <c r="M220" s="237" t="s">
        <v>1351</v>
      </c>
      <c r="N220" s="309" t="s">
        <v>1073</v>
      </c>
      <c r="O220" s="309" t="s">
        <v>1073</v>
      </c>
      <c r="P220" s="237" t="s">
        <v>1351</v>
      </c>
      <c r="Q220" s="237" t="s">
        <v>1351</v>
      </c>
      <c r="R220" s="237" t="s">
        <v>1351</v>
      </c>
      <c r="S220" s="237" t="s">
        <v>1351</v>
      </c>
      <c r="T220" s="309" t="s">
        <v>1073</v>
      </c>
      <c r="U220" s="309" t="s">
        <v>1073</v>
      </c>
      <c r="V220" s="309" t="s">
        <v>1073</v>
      </c>
      <c r="W220" s="309" t="s">
        <v>1073</v>
      </c>
      <c r="X220" s="237" t="s">
        <v>1351</v>
      </c>
      <c r="Y220" s="237" t="s">
        <v>1351</v>
      </c>
      <c r="Z220" s="237" t="s">
        <v>1351</v>
      </c>
      <c r="AA220" s="573">
        <v>219</v>
      </c>
    </row>
    <row r="221" spans="2:27" ht="72">
      <c r="B221" s="313" t="s">
        <v>1073</v>
      </c>
      <c r="C221" s="313" t="s">
        <v>1073</v>
      </c>
      <c r="D221" s="313" t="s">
        <v>1073</v>
      </c>
      <c r="E221" s="313" t="s">
        <v>1073</v>
      </c>
      <c r="F221" s="313" t="s">
        <v>1073</v>
      </c>
      <c r="G221" s="313" t="s">
        <v>1073</v>
      </c>
      <c r="H221" s="313" t="s">
        <v>1073</v>
      </c>
      <c r="I221" s="313" t="s">
        <v>1073</v>
      </c>
      <c r="J221" s="313" t="s">
        <v>1073</v>
      </c>
      <c r="K221" s="313" t="s">
        <v>1073</v>
      </c>
      <c r="L221" s="311" t="s">
        <v>1463</v>
      </c>
      <c r="M221" s="311" t="s">
        <v>1463</v>
      </c>
      <c r="N221" s="313" t="s">
        <v>1073</v>
      </c>
      <c r="O221" s="313" t="s">
        <v>1073</v>
      </c>
      <c r="P221" s="311" t="s">
        <v>1463</v>
      </c>
      <c r="Q221" s="311" t="s">
        <v>1463</v>
      </c>
      <c r="R221" s="311" t="s">
        <v>1463</v>
      </c>
      <c r="S221" s="311" t="s">
        <v>1463</v>
      </c>
      <c r="T221" s="313" t="s">
        <v>1073</v>
      </c>
      <c r="U221" s="313" t="s">
        <v>1073</v>
      </c>
      <c r="V221" s="313" t="s">
        <v>1073</v>
      </c>
      <c r="W221" s="313" t="s">
        <v>1073</v>
      </c>
      <c r="X221" s="311" t="s">
        <v>1463</v>
      </c>
      <c r="Y221" s="311" t="s">
        <v>1463</v>
      </c>
      <c r="Z221" s="311" t="s">
        <v>1463</v>
      </c>
      <c r="AA221" s="573">
        <v>220</v>
      </c>
    </row>
    <row r="222" spans="1:27" ht="15">
      <c r="A222" s="140"/>
      <c r="B222" s="153" t="s">
        <v>968</v>
      </c>
      <c r="C222" s="153" t="s">
        <v>968</v>
      </c>
      <c r="D222" s="153" t="s">
        <v>968</v>
      </c>
      <c r="E222" s="153" t="s">
        <v>968</v>
      </c>
      <c r="F222" s="153" t="s">
        <v>968</v>
      </c>
      <c r="G222" s="153" t="s">
        <v>968</v>
      </c>
      <c r="H222" s="153" t="s">
        <v>968</v>
      </c>
      <c r="I222" s="153" t="s">
        <v>968</v>
      </c>
      <c r="J222" s="153" t="s">
        <v>968</v>
      </c>
      <c r="K222" s="153" t="s">
        <v>968</v>
      </c>
      <c r="L222" s="153" t="s">
        <v>965</v>
      </c>
      <c r="M222" s="153" t="s">
        <v>965</v>
      </c>
      <c r="N222" s="153" t="s">
        <v>968</v>
      </c>
      <c r="O222" s="153" t="s">
        <v>968</v>
      </c>
      <c r="P222" s="153" t="s">
        <v>965</v>
      </c>
      <c r="Q222" s="153" t="s">
        <v>965</v>
      </c>
      <c r="R222" s="153" t="s">
        <v>965</v>
      </c>
      <c r="S222" s="153" t="s">
        <v>965</v>
      </c>
      <c r="T222" s="153" t="s">
        <v>968</v>
      </c>
      <c r="U222" s="153" t="s">
        <v>968</v>
      </c>
      <c r="V222" s="153" t="s">
        <v>968</v>
      </c>
      <c r="W222" s="153" t="s">
        <v>968</v>
      </c>
      <c r="X222" s="153" t="s">
        <v>965</v>
      </c>
      <c r="Y222" s="153" t="s">
        <v>965</v>
      </c>
      <c r="Z222" s="153" t="s">
        <v>965</v>
      </c>
      <c r="AA222" s="573">
        <v>221</v>
      </c>
    </row>
    <row r="223" spans="1:27" ht="15">
      <c r="A223" s="140"/>
      <c r="B223" s="153" t="s">
        <v>968</v>
      </c>
      <c r="C223" s="153" t="s">
        <v>968</v>
      </c>
      <c r="D223" s="153" t="s">
        <v>968</v>
      </c>
      <c r="E223" s="153" t="s">
        <v>968</v>
      </c>
      <c r="F223" s="153" t="s">
        <v>968</v>
      </c>
      <c r="G223" s="153" t="s">
        <v>968</v>
      </c>
      <c r="H223" s="153" t="s">
        <v>968</v>
      </c>
      <c r="I223" s="153" t="s">
        <v>968</v>
      </c>
      <c r="J223" s="153" t="s">
        <v>968</v>
      </c>
      <c r="K223" s="153" t="s">
        <v>968</v>
      </c>
      <c r="L223" s="153" t="s">
        <v>966</v>
      </c>
      <c r="M223" s="153" t="s">
        <v>966</v>
      </c>
      <c r="N223" s="153" t="s">
        <v>968</v>
      </c>
      <c r="O223" s="153" t="s">
        <v>968</v>
      </c>
      <c r="P223" s="153" t="s">
        <v>966</v>
      </c>
      <c r="Q223" s="153" t="s">
        <v>966</v>
      </c>
      <c r="R223" s="153" t="s">
        <v>966</v>
      </c>
      <c r="S223" s="153" t="s">
        <v>966</v>
      </c>
      <c r="T223" s="153" t="s">
        <v>968</v>
      </c>
      <c r="U223" s="153" t="s">
        <v>968</v>
      </c>
      <c r="V223" s="153" t="s">
        <v>968</v>
      </c>
      <c r="W223" s="153" t="s">
        <v>968</v>
      </c>
      <c r="X223" s="153" t="s">
        <v>966</v>
      </c>
      <c r="Y223" s="153" t="s">
        <v>966</v>
      </c>
      <c r="Z223" s="153" t="s">
        <v>966</v>
      </c>
      <c r="AA223" s="573">
        <v>222</v>
      </c>
    </row>
    <row r="224" spans="1:27" ht="15">
      <c r="A224" s="140"/>
      <c r="B224" s="153" t="s">
        <v>968</v>
      </c>
      <c r="C224" s="153" t="s">
        <v>968</v>
      </c>
      <c r="D224" s="153" t="s">
        <v>968</v>
      </c>
      <c r="E224" s="153" t="s">
        <v>968</v>
      </c>
      <c r="F224" s="153" t="s">
        <v>968</v>
      </c>
      <c r="G224" s="153" t="s">
        <v>968</v>
      </c>
      <c r="H224" s="153" t="s">
        <v>968</v>
      </c>
      <c r="I224" s="153" t="s">
        <v>968</v>
      </c>
      <c r="J224" s="153" t="s">
        <v>968</v>
      </c>
      <c r="K224" s="153" t="s">
        <v>968</v>
      </c>
      <c r="L224" s="153" t="s">
        <v>967</v>
      </c>
      <c r="M224" s="153" t="s">
        <v>967</v>
      </c>
      <c r="N224" s="153" t="s">
        <v>968</v>
      </c>
      <c r="O224" s="153" t="s">
        <v>968</v>
      </c>
      <c r="P224" s="153" t="s">
        <v>967</v>
      </c>
      <c r="Q224" s="153" t="s">
        <v>967</v>
      </c>
      <c r="R224" s="153" t="s">
        <v>967</v>
      </c>
      <c r="S224" s="153" t="s">
        <v>967</v>
      </c>
      <c r="T224" s="153" t="s">
        <v>968</v>
      </c>
      <c r="U224" s="153" t="s">
        <v>968</v>
      </c>
      <c r="V224" s="153" t="s">
        <v>968</v>
      </c>
      <c r="W224" s="153" t="s">
        <v>968</v>
      </c>
      <c r="X224" s="153" t="s">
        <v>967</v>
      </c>
      <c r="Y224" s="153" t="s">
        <v>967</v>
      </c>
      <c r="Z224" s="153" t="s">
        <v>967</v>
      </c>
      <c r="AA224" s="573">
        <v>223</v>
      </c>
    </row>
    <row r="225" spans="1:27" s="154" customFormat="1" ht="15">
      <c r="A225" s="140"/>
      <c r="B225" s="155" t="s">
        <v>1215</v>
      </c>
      <c r="C225" s="155" t="s">
        <v>1215</v>
      </c>
      <c r="D225" s="155" t="s">
        <v>1215</v>
      </c>
      <c r="E225" s="155" t="s">
        <v>1215</v>
      </c>
      <c r="F225" s="155" t="s">
        <v>1215</v>
      </c>
      <c r="G225" s="155" t="s">
        <v>1215</v>
      </c>
      <c r="H225" s="155" t="s">
        <v>1215</v>
      </c>
      <c r="I225" s="155" t="s">
        <v>1215</v>
      </c>
      <c r="J225" s="155" t="s">
        <v>1215</v>
      </c>
      <c r="K225" s="155" t="s">
        <v>1215</v>
      </c>
      <c r="L225" s="155" t="s">
        <v>48</v>
      </c>
      <c r="M225" s="155" t="s">
        <v>48</v>
      </c>
      <c r="N225" s="155" t="s">
        <v>1215</v>
      </c>
      <c r="O225" s="155" t="s">
        <v>1215</v>
      </c>
      <c r="P225" s="155" t="s">
        <v>48</v>
      </c>
      <c r="Q225" s="155" t="s">
        <v>48</v>
      </c>
      <c r="R225" s="155" t="s">
        <v>48</v>
      </c>
      <c r="S225" s="155" t="s">
        <v>48</v>
      </c>
      <c r="T225" s="155" t="s">
        <v>1215</v>
      </c>
      <c r="U225" s="155" t="s">
        <v>1215</v>
      </c>
      <c r="V225" s="155" t="s">
        <v>1215</v>
      </c>
      <c r="W225" s="155" t="s">
        <v>1215</v>
      </c>
      <c r="X225" s="155" t="s">
        <v>48</v>
      </c>
      <c r="Y225" s="155" t="s">
        <v>48</v>
      </c>
      <c r="Z225" s="155" t="s">
        <v>48</v>
      </c>
      <c r="AA225" s="573">
        <v>224</v>
      </c>
    </row>
    <row r="226" spans="1:27" s="154" customFormat="1" ht="15">
      <c r="A226" s="140"/>
      <c r="B226" s="155" t="s">
        <v>1215</v>
      </c>
      <c r="C226" s="155" t="s">
        <v>1215</v>
      </c>
      <c r="D226" s="155" t="s">
        <v>1215</v>
      </c>
      <c r="E226" s="155" t="s">
        <v>1215</v>
      </c>
      <c r="F226" s="155" t="s">
        <v>1215</v>
      </c>
      <c r="G226" s="155" t="s">
        <v>1215</v>
      </c>
      <c r="H226" s="155" t="s">
        <v>1215</v>
      </c>
      <c r="I226" s="155" t="s">
        <v>1215</v>
      </c>
      <c r="J226" s="155" t="s">
        <v>1215</v>
      </c>
      <c r="K226" s="155" t="s">
        <v>1215</v>
      </c>
      <c r="L226" s="155" t="s">
        <v>56</v>
      </c>
      <c r="M226" s="155" t="s">
        <v>56</v>
      </c>
      <c r="N226" s="155" t="s">
        <v>1215</v>
      </c>
      <c r="O226" s="155" t="s">
        <v>1215</v>
      </c>
      <c r="P226" s="155" t="s">
        <v>56</v>
      </c>
      <c r="Q226" s="155" t="s">
        <v>56</v>
      </c>
      <c r="R226" s="155" t="s">
        <v>56</v>
      </c>
      <c r="S226" s="155" t="s">
        <v>56</v>
      </c>
      <c r="T226" s="155" t="s">
        <v>1215</v>
      </c>
      <c r="U226" s="155" t="s">
        <v>1215</v>
      </c>
      <c r="V226" s="155" t="s">
        <v>1215</v>
      </c>
      <c r="W226" s="155" t="s">
        <v>1215</v>
      </c>
      <c r="X226" s="155" t="s">
        <v>56</v>
      </c>
      <c r="Y226" s="155" t="s">
        <v>56</v>
      </c>
      <c r="Z226" s="155" t="s">
        <v>56</v>
      </c>
      <c r="AA226" s="573">
        <v>225</v>
      </c>
    </row>
    <row r="227" spans="1:27" s="154" customFormat="1" ht="15">
      <c r="A227" s="140"/>
      <c r="B227" s="155" t="s">
        <v>1215</v>
      </c>
      <c r="C227" s="155" t="s">
        <v>1215</v>
      </c>
      <c r="D227" s="155" t="s">
        <v>1215</v>
      </c>
      <c r="E227" s="155" t="s">
        <v>1215</v>
      </c>
      <c r="F227" s="155" t="s">
        <v>1215</v>
      </c>
      <c r="G227" s="155" t="s">
        <v>1215</v>
      </c>
      <c r="H227" s="155" t="s">
        <v>1215</v>
      </c>
      <c r="I227" s="155" t="s">
        <v>1215</v>
      </c>
      <c r="J227" s="155" t="s">
        <v>1215</v>
      </c>
      <c r="K227" s="155" t="s">
        <v>1215</v>
      </c>
      <c r="L227" s="155" t="s">
        <v>85</v>
      </c>
      <c r="M227" s="155" t="s">
        <v>85</v>
      </c>
      <c r="N227" s="155" t="s">
        <v>1215</v>
      </c>
      <c r="O227" s="155" t="s">
        <v>1215</v>
      </c>
      <c r="P227" s="155" t="s">
        <v>85</v>
      </c>
      <c r="Q227" s="155" t="s">
        <v>85</v>
      </c>
      <c r="R227" s="155" t="s">
        <v>85</v>
      </c>
      <c r="S227" s="155" t="s">
        <v>85</v>
      </c>
      <c r="T227" s="155" t="s">
        <v>1215</v>
      </c>
      <c r="U227" s="155" t="s">
        <v>1215</v>
      </c>
      <c r="V227" s="155" t="s">
        <v>1215</v>
      </c>
      <c r="W227" s="155" t="s">
        <v>1215</v>
      </c>
      <c r="X227" s="155" t="s">
        <v>85</v>
      </c>
      <c r="Y227" s="155" t="s">
        <v>85</v>
      </c>
      <c r="Z227" s="155" t="s">
        <v>85</v>
      </c>
      <c r="AA227" s="573">
        <v>226</v>
      </c>
    </row>
    <row r="228" spans="2:27" ht="15">
      <c r="B228" s="94"/>
      <c r="T228" s="94"/>
      <c r="U228" s="94"/>
      <c r="V228" s="94"/>
      <c r="W228" s="94"/>
      <c r="Y228" s="416" t="s">
        <v>1637</v>
      </c>
      <c r="Z228" s="416" t="s">
        <v>1637</v>
      </c>
      <c r="AA228" s="573">
        <v>227</v>
      </c>
    </row>
    <row r="229" spans="2:27" ht="15">
      <c r="B229" s="94"/>
      <c r="T229" s="94"/>
      <c r="U229" s="94"/>
      <c r="V229" s="94"/>
      <c r="W229" s="94"/>
      <c r="Y229" s="416" t="s">
        <v>1638</v>
      </c>
      <c r="Z229" s="416" t="s">
        <v>1638</v>
      </c>
      <c r="AA229" s="573">
        <v>228</v>
      </c>
    </row>
    <row r="230" spans="2:27" ht="15">
      <c r="B230" s="94"/>
      <c r="T230" s="94"/>
      <c r="U230" s="94"/>
      <c r="V230" s="94"/>
      <c r="W230" s="94"/>
      <c r="Y230" s="416" t="s">
        <v>1639</v>
      </c>
      <c r="Z230" s="416" t="s">
        <v>1639</v>
      </c>
      <c r="AA230" s="573">
        <v>229</v>
      </c>
    </row>
    <row r="231" spans="2:27" ht="72">
      <c r="B231" s="401" t="s">
        <v>1073</v>
      </c>
      <c r="C231" s="401" t="s">
        <v>1073</v>
      </c>
      <c r="D231" s="401" t="s">
        <v>1073</v>
      </c>
      <c r="E231" s="401" t="s">
        <v>1073</v>
      </c>
      <c r="F231" s="401" t="s">
        <v>1073</v>
      </c>
      <c r="G231" s="401" t="s">
        <v>1073</v>
      </c>
      <c r="H231" s="401" t="s">
        <v>1073</v>
      </c>
      <c r="I231" s="401" t="s">
        <v>1073</v>
      </c>
      <c r="J231" s="401" t="s">
        <v>1073</v>
      </c>
      <c r="K231" s="401" t="s">
        <v>1073</v>
      </c>
      <c r="L231" s="401" t="s">
        <v>1073</v>
      </c>
      <c r="M231" s="401" t="s">
        <v>1073</v>
      </c>
      <c r="N231" s="401" t="s">
        <v>1073</v>
      </c>
      <c r="O231" s="401" t="s">
        <v>1073</v>
      </c>
      <c r="P231" s="401" t="s">
        <v>1073</v>
      </c>
      <c r="Q231" s="401" t="s">
        <v>1073</v>
      </c>
      <c r="R231" s="401" t="s">
        <v>1073</v>
      </c>
      <c r="S231" s="401" t="s">
        <v>1073</v>
      </c>
      <c r="T231" s="401" t="s">
        <v>1073</v>
      </c>
      <c r="U231" s="401" t="s">
        <v>1073</v>
      </c>
      <c r="V231" s="401" t="s">
        <v>1073</v>
      </c>
      <c r="W231" s="401" t="s">
        <v>1073</v>
      </c>
      <c r="X231" s="401" t="s">
        <v>1073</v>
      </c>
      <c r="Y231" s="237" t="s">
        <v>1648</v>
      </c>
      <c r="Z231" s="237" t="s">
        <v>1648</v>
      </c>
      <c r="AA231" s="573">
        <v>230</v>
      </c>
    </row>
    <row r="232" spans="2:27" ht="72">
      <c r="B232" s="401" t="s">
        <v>1073</v>
      </c>
      <c r="C232" s="401" t="s">
        <v>1073</v>
      </c>
      <c r="D232" s="401" t="s">
        <v>1073</v>
      </c>
      <c r="E232" s="401" t="s">
        <v>1073</v>
      </c>
      <c r="F232" s="401" t="s">
        <v>1073</v>
      </c>
      <c r="G232" s="401" t="s">
        <v>1073</v>
      </c>
      <c r="H232" s="401" t="s">
        <v>1073</v>
      </c>
      <c r="I232" s="401" t="s">
        <v>1073</v>
      </c>
      <c r="J232" s="401" t="s">
        <v>1073</v>
      </c>
      <c r="K232" s="401" t="s">
        <v>1073</v>
      </c>
      <c r="L232" s="401" t="s">
        <v>1073</v>
      </c>
      <c r="M232" s="401" t="s">
        <v>1073</v>
      </c>
      <c r="N232" s="401" t="s">
        <v>1073</v>
      </c>
      <c r="O232" s="401" t="s">
        <v>1073</v>
      </c>
      <c r="P232" s="401" t="s">
        <v>1073</v>
      </c>
      <c r="Q232" s="401" t="s">
        <v>1073</v>
      </c>
      <c r="R232" s="401" t="s">
        <v>1073</v>
      </c>
      <c r="S232" s="401" t="s">
        <v>1073</v>
      </c>
      <c r="T232" s="401" t="s">
        <v>1073</v>
      </c>
      <c r="U232" s="401" t="s">
        <v>1073</v>
      </c>
      <c r="V232" s="401" t="s">
        <v>1073</v>
      </c>
      <c r="W232" s="401" t="s">
        <v>1073</v>
      </c>
      <c r="X232" s="401" t="s">
        <v>1073</v>
      </c>
      <c r="Y232" s="311" t="s">
        <v>1649</v>
      </c>
      <c r="Z232" s="311" t="s">
        <v>1649</v>
      </c>
      <c r="AA232" s="573">
        <v>231</v>
      </c>
    </row>
    <row r="233" spans="2:27" ht="15">
      <c r="B233" s="581" t="str">
        <f aca="true" t="shared" si="0" ref="B233:W233">B224</f>
        <v>-9**</v>
      </c>
      <c r="C233" s="581" t="str">
        <f t="shared" si="0"/>
        <v>-9**</v>
      </c>
      <c r="D233" s="581" t="str">
        <f t="shared" si="0"/>
        <v>-9**</v>
      </c>
      <c r="E233" s="581" t="str">
        <f t="shared" si="0"/>
        <v>-9**</v>
      </c>
      <c r="F233" s="581" t="str">
        <f t="shared" si="0"/>
        <v>-9**</v>
      </c>
      <c r="G233" s="581" t="str">
        <f t="shared" si="0"/>
        <v>-9**</v>
      </c>
      <c r="H233" s="581" t="str">
        <f t="shared" si="0"/>
        <v>-9**</v>
      </c>
      <c r="I233" s="581" t="str">
        <f t="shared" si="0"/>
        <v>-9**</v>
      </c>
      <c r="J233" s="581" t="str">
        <f t="shared" si="0"/>
        <v>-9**</v>
      </c>
      <c r="K233" s="581" t="str">
        <f t="shared" si="0"/>
        <v>-9**</v>
      </c>
      <c r="L233" s="581" t="str">
        <f t="shared" si="0"/>
        <v>-983</v>
      </c>
      <c r="M233" s="581" t="str">
        <f t="shared" si="0"/>
        <v>-983</v>
      </c>
      <c r="N233" s="581" t="str">
        <f t="shared" si="0"/>
        <v>-9**</v>
      </c>
      <c r="O233" s="581" t="str">
        <f t="shared" si="0"/>
        <v>-9**</v>
      </c>
      <c r="P233" s="581" t="str">
        <f t="shared" si="0"/>
        <v>-983</v>
      </c>
      <c r="Q233" s="581" t="str">
        <f t="shared" si="0"/>
        <v>-983</v>
      </c>
      <c r="R233" s="581" t="str">
        <f t="shared" si="0"/>
        <v>-983</v>
      </c>
      <c r="S233" s="581" t="str">
        <f t="shared" si="0"/>
        <v>-983</v>
      </c>
      <c r="T233" s="581" t="str">
        <f t="shared" si="0"/>
        <v>-9**</v>
      </c>
      <c r="U233" s="581" t="str">
        <f t="shared" si="0"/>
        <v>-9**</v>
      </c>
      <c r="V233" s="581" t="str">
        <f t="shared" si="0"/>
        <v>-9**</v>
      </c>
      <c r="W233" s="581" t="str">
        <f t="shared" si="0"/>
        <v>-9**</v>
      </c>
      <c r="X233" s="581" t="str">
        <f>X224</f>
        <v>-983</v>
      </c>
      <c r="Y233" s="153" t="s">
        <v>1640</v>
      </c>
      <c r="Z233" s="153" t="s">
        <v>1640</v>
      </c>
      <c r="AA233" s="573">
        <v>232</v>
      </c>
    </row>
    <row r="234" spans="2:27" ht="15">
      <c r="B234" s="581" t="str">
        <f aca="true" t="shared" si="1" ref="B234:W234">B227</f>
        <v>*</v>
      </c>
      <c r="C234" s="581" t="str">
        <f t="shared" si="1"/>
        <v>*</v>
      </c>
      <c r="D234" s="581" t="str">
        <f t="shared" si="1"/>
        <v>*</v>
      </c>
      <c r="E234" s="581" t="str">
        <f t="shared" si="1"/>
        <v>*</v>
      </c>
      <c r="F234" s="581" t="str">
        <f t="shared" si="1"/>
        <v>*</v>
      </c>
      <c r="G234" s="581" t="str">
        <f t="shared" si="1"/>
        <v>*</v>
      </c>
      <c r="H234" s="581" t="str">
        <f t="shared" si="1"/>
        <v>*</v>
      </c>
      <c r="I234" s="581" t="str">
        <f t="shared" si="1"/>
        <v>*</v>
      </c>
      <c r="J234" s="581" t="str">
        <f t="shared" si="1"/>
        <v>*</v>
      </c>
      <c r="K234" s="581" t="str">
        <f t="shared" si="1"/>
        <v>*</v>
      </c>
      <c r="L234" s="581" t="str">
        <f t="shared" si="1"/>
        <v>P</v>
      </c>
      <c r="M234" s="581" t="str">
        <f t="shared" si="1"/>
        <v>P</v>
      </c>
      <c r="N234" s="581" t="str">
        <f t="shared" si="1"/>
        <v>*</v>
      </c>
      <c r="O234" s="581" t="str">
        <f t="shared" si="1"/>
        <v>*</v>
      </c>
      <c r="P234" s="581" t="str">
        <f t="shared" si="1"/>
        <v>P</v>
      </c>
      <c r="Q234" s="581" t="str">
        <f t="shared" si="1"/>
        <v>P</v>
      </c>
      <c r="R234" s="581" t="str">
        <f t="shared" si="1"/>
        <v>P</v>
      </c>
      <c r="S234" s="581" t="str">
        <f t="shared" si="1"/>
        <v>P</v>
      </c>
      <c r="T234" s="581" t="str">
        <f t="shared" si="1"/>
        <v>*</v>
      </c>
      <c r="U234" s="581" t="str">
        <f t="shared" si="1"/>
        <v>*</v>
      </c>
      <c r="V234" s="581" t="str">
        <f t="shared" si="1"/>
        <v>*</v>
      </c>
      <c r="W234" s="581" t="str">
        <f t="shared" si="1"/>
        <v>*</v>
      </c>
      <c r="X234" s="581" t="str">
        <f>X227</f>
        <v>P</v>
      </c>
      <c r="Y234" s="155" t="s">
        <v>200</v>
      </c>
      <c r="Z234" s="155" t="s">
        <v>200</v>
      </c>
      <c r="AA234" s="573">
        <v>233</v>
      </c>
    </row>
    <row r="235" spans="2:27" ht="15">
      <c r="B235" s="94"/>
      <c r="Y235" s="416" t="s">
        <v>1641</v>
      </c>
      <c r="Z235" s="416" t="s">
        <v>1641</v>
      </c>
      <c r="AA235" s="573">
        <v>234</v>
      </c>
    </row>
    <row r="236" spans="2:27" ht="15">
      <c r="B236" s="401" t="s">
        <v>1073</v>
      </c>
      <c r="C236" s="401" t="s">
        <v>1073</v>
      </c>
      <c r="D236" s="401" t="s">
        <v>1073</v>
      </c>
      <c r="E236" s="401" t="s">
        <v>1073</v>
      </c>
      <c r="F236" s="401" t="s">
        <v>1073</v>
      </c>
      <c r="G236" s="401" t="s">
        <v>1073</v>
      </c>
      <c r="H236" s="401" t="s">
        <v>1073</v>
      </c>
      <c r="I236" s="401" t="s">
        <v>1073</v>
      </c>
      <c r="J236" s="401" t="s">
        <v>1073</v>
      </c>
      <c r="K236" s="401" t="s">
        <v>1073</v>
      </c>
      <c r="L236" s="401" t="s">
        <v>1073</v>
      </c>
      <c r="M236" s="401" t="s">
        <v>1073</v>
      </c>
      <c r="N236" s="401" t="s">
        <v>1073</v>
      </c>
      <c r="O236" s="401" t="s">
        <v>1073</v>
      </c>
      <c r="P236" s="401" t="s">
        <v>1073</v>
      </c>
      <c r="Q236" s="401" t="s">
        <v>1073</v>
      </c>
      <c r="R236" s="401" t="s">
        <v>1073</v>
      </c>
      <c r="S236" s="401" t="s">
        <v>1073</v>
      </c>
      <c r="T236" s="401" t="s">
        <v>1073</v>
      </c>
      <c r="U236" s="401" t="s">
        <v>1073</v>
      </c>
      <c r="V236" s="401" t="s">
        <v>1073</v>
      </c>
      <c r="W236" s="401" t="s">
        <v>1073</v>
      </c>
      <c r="X236" s="401" t="s">
        <v>1073</v>
      </c>
      <c r="Y236" s="401" t="s">
        <v>1073</v>
      </c>
      <c r="Z236" s="409" t="s">
        <v>1650</v>
      </c>
      <c r="AA236" s="573">
        <v>235</v>
      </c>
    </row>
    <row r="237" spans="2:27" ht="15">
      <c r="B237" s="401" t="s">
        <v>1073</v>
      </c>
      <c r="C237" s="401" t="s">
        <v>1073</v>
      </c>
      <c r="D237" s="401" t="s">
        <v>1073</v>
      </c>
      <c r="E237" s="401" t="s">
        <v>1073</v>
      </c>
      <c r="F237" s="401" t="s">
        <v>1073</v>
      </c>
      <c r="G237" s="401" t="s">
        <v>1073</v>
      </c>
      <c r="H237" s="401" t="s">
        <v>1073</v>
      </c>
      <c r="I237" s="401" t="s">
        <v>1073</v>
      </c>
      <c r="J237" s="401" t="s">
        <v>1073</v>
      </c>
      <c r="K237" s="401" t="s">
        <v>1073</v>
      </c>
      <c r="L237" s="401" t="s">
        <v>1073</v>
      </c>
      <c r="M237" s="401" t="s">
        <v>1073</v>
      </c>
      <c r="N237" s="401" t="s">
        <v>1073</v>
      </c>
      <c r="O237" s="401" t="s">
        <v>1073</v>
      </c>
      <c r="P237" s="401" t="s">
        <v>1073</v>
      </c>
      <c r="Q237" s="401" t="s">
        <v>1073</v>
      </c>
      <c r="R237" s="401" t="s">
        <v>1073</v>
      </c>
      <c r="S237" s="401" t="s">
        <v>1073</v>
      </c>
      <c r="T237" s="401" t="s">
        <v>1073</v>
      </c>
      <c r="U237" s="401" t="s">
        <v>1073</v>
      </c>
      <c r="V237" s="401" t="s">
        <v>1073</v>
      </c>
      <c r="W237" s="401" t="s">
        <v>1073</v>
      </c>
      <c r="X237" s="401" t="s">
        <v>1073</v>
      </c>
      <c r="Y237" s="401" t="s">
        <v>1073</v>
      </c>
      <c r="Z237" s="409" t="s">
        <v>1651</v>
      </c>
      <c r="AA237" s="573">
        <v>236</v>
      </c>
    </row>
    <row r="238" spans="2:27" ht="15">
      <c r="B238" s="401" t="s">
        <v>1073</v>
      </c>
      <c r="C238" s="401" t="s">
        <v>1073</v>
      </c>
      <c r="D238" s="401" t="s">
        <v>1073</v>
      </c>
      <c r="E238" s="401" t="s">
        <v>1073</v>
      </c>
      <c r="F238" s="401" t="s">
        <v>1073</v>
      </c>
      <c r="G238" s="401" t="s">
        <v>1073</v>
      </c>
      <c r="H238" s="401" t="s">
        <v>1073</v>
      </c>
      <c r="I238" s="401" t="s">
        <v>1073</v>
      </c>
      <c r="J238" s="401" t="s">
        <v>1073</v>
      </c>
      <c r="K238" s="401" t="s">
        <v>1073</v>
      </c>
      <c r="L238" s="401" t="s">
        <v>1073</v>
      </c>
      <c r="M238" s="401" t="s">
        <v>1073</v>
      </c>
      <c r="N238" s="401" t="s">
        <v>1073</v>
      </c>
      <c r="O238" s="401" t="s">
        <v>1073</v>
      </c>
      <c r="P238" s="401" t="s">
        <v>1073</v>
      </c>
      <c r="Q238" s="401" t="s">
        <v>1073</v>
      </c>
      <c r="R238" s="401" t="s">
        <v>1073</v>
      </c>
      <c r="S238" s="401" t="s">
        <v>1073</v>
      </c>
      <c r="T238" s="401" t="s">
        <v>1073</v>
      </c>
      <c r="U238" s="401" t="s">
        <v>1073</v>
      </c>
      <c r="V238" s="401" t="s">
        <v>1073</v>
      </c>
      <c r="W238" s="401" t="s">
        <v>1073</v>
      </c>
      <c r="X238" s="401" t="s">
        <v>1073</v>
      </c>
      <c r="Y238" s="401" t="s">
        <v>1073</v>
      </c>
      <c r="Z238" s="409" t="s">
        <v>1652</v>
      </c>
      <c r="AA238" s="573">
        <v>237</v>
      </c>
    </row>
    <row r="239" spans="2:27" ht="15">
      <c r="B239" s="401" t="s">
        <v>1073</v>
      </c>
      <c r="C239" s="401" t="s">
        <v>1073</v>
      </c>
      <c r="D239" s="401" t="s">
        <v>1073</v>
      </c>
      <c r="E239" s="401" t="s">
        <v>1073</v>
      </c>
      <c r="F239" s="401" t="s">
        <v>1073</v>
      </c>
      <c r="G239" s="401" t="s">
        <v>1073</v>
      </c>
      <c r="H239" s="401" t="s">
        <v>1073</v>
      </c>
      <c r="I239" s="401" t="s">
        <v>1073</v>
      </c>
      <c r="J239" s="401" t="s">
        <v>1073</v>
      </c>
      <c r="K239" s="401" t="s">
        <v>1073</v>
      </c>
      <c r="L239" s="401" t="s">
        <v>1073</v>
      </c>
      <c r="M239" s="401" t="s">
        <v>1073</v>
      </c>
      <c r="N239" s="401" t="s">
        <v>1073</v>
      </c>
      <c r="O239" s="401" t="s">
        <v>1073</v>
      </c>
      <c r="P239" s="401" t="s">
        <v>1073</v>
      </c>
      <c r="Q239" s="401" t="s">
        <v>1073</v>
      </c>
      <c r="R239" s="401" t="s">
        <v>1073</v>
      </c>
      <c r="S239" s="401" t="s">
        <v>1073</v>
      </c>
      <c r="T239" s="401" t="s">
        <v>1073</v>
      </c>
      <c r="U239" s="401" t="s">
        <v>1073</v>
      </c>
      <c r="V239" s="401" t="s">
        <v>1073</v>
      </c>
      <c r="W239" s="401" t="s">
        <v>1073</v>
      </c>
      <c r="X239" s="401" t="s">
        <v>1073</v>
      </c>
      <c r="Y239" s="401" t="s">
        <v>1073</v>
      </c>
      <c r="Z239" s="409" t="s">
        <v>1653</v>
      </c>
      <c r="AA239" s="573">
        <v>238</v>
      </c>
    </row>
    <row r="240" spans="2:27" ht="15">
      <c r="B240" s="401" t="s">
        <v>1073</v>
      </c>
      <c r="C240" s="401" t="s">
        <v>1073</v>
      </c>
      <c r="D240" s="401" t="s">
        <v>1073</v>
      </c>
      <c r="E240" s="401" t="s">
        <v>1073</v>
      </c>
      <c r="F240" s="401" t="s">
        <v>1073</v>
      </c>
      <c r="G240" s="401" t="s">
        <v>1073</v>
      </c>
      <c r="H240" s="401" t="s">
        <v>1073</v>
      </c>
      <c r="I240" s="401" t="s">
        <v>1073</v>
      </c>
      <c r="J240" s="401" t="s">
        <v>1073</v>
      </c>
      <c r="K240" s="401" t="s">
        <v>1073</v>
      </c>
      <c r="L240" s="401" t="s">
        <v>1073</v>
      </c>
      <c r="M240" s="401" t="s">
        <v>1073</v>
      </c>
      <c r="N240" s="401" t="s">
        <v>1073</v>
      </c>
      <c r="O240" s="401" t="s">
        <v>1073</v>
      </c>
      <c r="P240" s="401" t="s">
        <v>1073</v>
      </c>
      <c r="Q240" s="401" t="s">
        <v>1073</v>
      </c>
      <c r="R240" s="401" t="s">
        <v>1073</v>
      </c>
      <c r="S240" s="401" t="s">
        <v>1073</v>
      </c>
      <c r="T240" s="401" t="s">
        <v>1073</v>
      </c>
      <c r="U240" s="401" t="s">
        <v>1073</v>
      </c>
      <c r="V240" s="401" t="s">
        <v>1073</v>
      </c>
      <c r="W240" s="401" t="s">
        <v>1073</v>
      </c>
      <c r="X240" s="401" t="s">
        <v>1073</v>
      </c>
      <c r="Y240" s="401" t="s">
        <v>1073</v>
      </c>
      <c r="Z240" s="409" t="s">
        <v>1654</v>
      </c>
      <c r="AA240" s="573">
        <v>239</v>
      </c>
    </row>
    <row r="241" spans="2:27" ht="15">
      <c r="B241" s="94"/>
      <c r="AA241" s="573">
        <v>240</v>
      </c>
    </row>
    <row r="242" spans="2:27" ht="15">
      <c r="B242" s="94"/>
      <c r="AA242" s="573">
        <v>241</v>
      </c>
    </row>
    <row r="243" spans="2:27" ht="15">
      <c r="B243" s="94"/>
      <c r="AA243" s="573">
        <v>242</v>
      </c>
    </row>
    <row r="244" spans="2:27" ht="15">
      <c r="B244" s="94"/>
      <c r="AA244" s="573">
        <v>243</v>
      </c>
    </row>
    <row r="245" spans="2:27" ht="15">
      <c r="B245" s="94"/>
      <c r="AA245" s="573">
        <v>244</v>
      </c>
    </row>
    <row r="246" spans="2:27" ht="15">
      <c r="B246" s="94"/>
      <c r="AA246" s="573">
        <v>245</v>
      </c>
    </row>
    <row r="247" spans="2:27" ht="15">
      <c r="B247" s="94"/>
      <c r="AA247" s="573">
        <v>246</v>
      </c>
    </row>
    <row r="248" spans="2:27" ht="15">
      <c r="B248" s="94"/>
      <c r="AA248" s="573">
        <v>247</v>
      </c>
    </row>
    <row r="249" spans="2:27" ht="15">
      <c r="B249" s="94"/>
      <c r="AA249" s="573">
        <v>248</v>
      </c>
    </row>
    <row r="250" spans="2:27" ht="15">
      <c r="B250" s="94"/>
      <c r="AA250" s="573">
        <v>249</v>
      </c>
    </row>
    <row r="251" spans="2:27" ht="15">
      <c r="B251" s="94"/>
      <c r="AA251" s="573">
        <v>250</v>
      </c>
    </row>
    <row r="252" spans="2:27" ht="15">
      <c r="B252" s="94"/>
      <c r="AA252" s="573">
        <v>251</v>
      </c>
    </row>
    <row r="253" spans="2:27" ht="15">
      <c r="B253" s="94"/>
      <c r="AA253" s="573">
        <v>252</v>
      </c>
    </row>
    <row r="254" spans="2:27" ht="15">
      <c r="B254" s="94"/>
      <c r="AA254" s="573">
        <v>253</v>
      </c>
    </row>
    <row r="255" spans="2:27" ht="15">
      <c r="B255" s="94"/>
      <c r="AA255" s="573">
        <v>254</v>
      </c>
    </row>
    <row r="256" spans="2:27" ht="15">
      <c r="B256" s="94"/>
      <c r="AA256" s="573">
        <v>255</v>
      </c>
    </row>
    <row r="257" spans="2:27" ht="15">
      <c r="B257" s="94"/>
      <c r="AA257" s="573">
        <v>256</v>
      </c>
    </row>
    <row r="258" spans="2:27" ht="15">
      <c r="B258" s="94"/>
      <c r="AA258" s="573">
        <v>257</v>
      </c>
    </row>
    <row r="259" spans="2:27" ht="15">
      <c r="B259" s="94"/>
      <c r="AA259" s="573">
        <v>258</v>
      </c>
    </row>
    <row r="260" spans="2:27" ht="15">
      <c r="B260" s="94"/>
      <c r="AA260" s="573">
        <v>259</v>
      </c>
    </row>
    <row r="261" spans="2:27" ht="15">
      <c r="B261" s="94"/>
      <c r="AA261" s="573">
        <v>260</v>
      </c>
    </row>
    <row r="262" spans="2:27" ht="15">
      <c r="B262" s="94"/>
      <c r="AA262" s="573">
        <v>261</v>
      </c>
    </row>
    <row r="263" spans="2:27" ht="15">
      <c r="B263" s="94"/>
      <c r="AA263" s="573">
        <v>262</v>
      </c>
    </row>
    <row r="264" spans="2:27" ht="15">
      <c r="B264" s="94"/>
      <c r="AA264" s="573">
        <v>263</v>
      </c>
    </row>
    <row r="265" spans="2:27" ht="15">
      <c r="B265" s="94"/>
      <c r="AA265" s="573">
        <v>264</v>
      </c>
    </row>
    <row r="266" spans="2:27" ht="15">
      <c r="B266" s="94"/>
      <c r="AA266" s="573">
        <v>265</v>
      </c>
    </row>
    <row r="267" spans="2:27" ht="15">
      <c r="B267" s="94"/>
      <c r="AA267" s="573">
        <v>266</v>
      </c>
    </row>
    <row r="268" spans="2:27" ht="15">
      <c r="B268" s="94"/>
      <c r="AA268" s="573">
        <v>267</v>
      </c>
    </row>
    <row r="269" spans="2:27" ht="15">
      <c r="B269" s="94"/>
      <c r="AA269" s="573">
        <v>268</v>
      </c>
    </row>
    <row r="270" spans="2:27" ht="15">
      <c r="B270" s="94"/>
      <c r="AA270" s="573">
        <v>269</v>
      </c>
    </row>
    <row r="271" spans="2:27" ht="15">
      <c r="B271" s="94"/>
      <c r="AA271" s="573">
        <v>270</v>
      </c>
    </row>
    <row r="272" spans="2:27" ht="15">
      <c r="B272" s="94"/>
      <c r="AA272" s="573">
        <v>271</v>
      </c>
    </row>
    <row r="273" spans="2:27" ht="15">
      <c r="B273" s="94"/>
      <c r="AA273" s="573">
        <v>272</v>
      </c>
    </row>
    <row r="274" spans="2:27" ht="15">
      <c r="B274" s="94"/>
      <c r="AA274" s="573">
        <v>273</v>
      </c>
    </row>
    <row r="275" spans="2:27" ht="15">
      <c r="B275" s="94"/>
      <c r="AA275" s="573">
        <v>274</v>
      </c>
    </row>
    <row r="276" spans="2:27" ht="15">
      <c r="B276" s="94"/>
      <c r="AA276" s="573">
        <v>275</v>
      </c>
    </row>
    <row r="277" spans="2:27" ht="15">
      <c r="B277" s="94"/>
      <c r="AA277" s="573">
        <v>276</v>
      </c>
    </row>
    <row r="278" spans="2:27" ht="15">
      <c r="B278" s="94"/>
      <c r="AA278" s="573">
        <v>277</v>
      </c>
    </row>
    <row r="279" spans="2:27" ht="15">
      <c r="B279" s="94"/>
      <c r="AA279" s="573">
        <v>278</v>
      </c>
    </row>
    <row r="280" spans="2:27" ht="15">
      <c r="B280" s="94"/>
      <c r="AA280" s="573">
        <v>279</v>
      </c>
    </row>
    <row r="281" spans="2:27" ht="15">
      <c r="B281" s="94"/>
      <c r="AA281" s="573">
        <v>280</v>
      </c>
    </row>
    <row r="282" spans="2:27" ht="15">
      <c r="B282" s="94"/>
      <c r="AA282" s="573">
        <v>281</v>
      </c>
    </row>
    <row r="283" spans="2:27" ht="15">
      <c r="B283" s="94"/>
      <c r="AA283" s="573">
        <v>282</v>
      </c>
    </row>
    <row r="284" spans="2:27" ht="15">
      <c r="B284" s="94"/>
      <c r="AA284" s="573">
        <v>283</v>
      </c>
    </row>
    <row r="285" spans="2:27" ht="15">
      <c r="B285" s="94"/>
      <c r="AA285" s="573">
        <v>284</v>
      </c>
    </row>
    <row r="286" spans="2:27" ht="15">
      <c r="B286" s="94"/>
      <c r="AA286" s="573">
        <v>285</v>
      </c>
    </row>
    <row r="287" spans="2:27" ht="15">
      <c r="B287" s="94"/>
      <c r="AA287" s="573">
        <v>286</v>
      </c>
    </row>
    <row r="288" spans="2:27" ht="15">
      <c r="B288" s="94"/>
      <c r="AA288" s="573">
        <v>287</v>
      </c>
    </row>
    <row r="289" spans="2:27" ht="15">
      <c r="B289" s="94"/>
      <c r="AA289" s="573">
        <v>288</v>
      </c>
    </row>
    <row r="290" spans="2:27" ht="15">
      <c r="B290" s="94"/>
      <c r="AA290" s="573">
        <v>289</v>
      </c>
    </row>
    <row r="291" spans="2:27" ht="15">
      <c r="B291" s="94"/>
      <c r="AA291" s="573">
        <v>290</v>
      </c>
    </row>
    <row r="292" spans="2:27" ht="15">
      <c r="B292" s="94"/>
      <c r="AA292" s="573">
        <v>291</v>
      </c>
    </row>
    <row r="293" spans="2:27" ht="15">
      <c r="B293" s="94"/>
      <c r="AA293" s="573">
        <v>292</v>
      </c>
    </row>
    <row r="294" spans="2:27" ht="15">
      <c r="B294" s="94"/>
      <c r="AA294" s="573">
        <v>293</v>
      </c>
    </row>
    <row r="295" spans="2:27" ht="15">
      <c r="B295" s="94"/>
      <c r="AA295" s="573">
        <v>294</v>
      </c>
    </row>
    <row r="296" spans="2:27" ht="15">
      <c r="B296" s="94"/>
      <c r="AA296" s="573">
        <v>295</v>
      </c>
    </row>
    <row r="297" spans="2:27" ht="15">
      <c r="B297" s="94"/>
      <c r="AA297" s="573">
        <v>296</v>
      </c>
    </row>
    <row r="298" spans="2:27" ht="15">
      <c r="B298" s="94"/>
      <c r="AA298" s="573">
        <v>297</v>
      </c>
    </row>
    <row r="299" spans="2:27" ht="15">
      <c r="B299" s="94"/>
      <c r="AA299" s="573">
        <v>298</v>
      </c>
    </row>
    <row r="300" spans="2:27" ht="15">
      <c r="B300" s="94"/>
      <c r="AA300" s="573">
        <v>299</v>
      </c>
    </row>
    <row r="301" spans="2:27" ht="15">
      <c r="B301" s="94"/>
      <c r="AA301" s="573">
        <v>300</v>
      </c>
    </row>
    <row r="302" spans="2:27" ht="15">
      <c r="B302" s="94"/>
      <c r="AA302" s="573">
        <v>301</v>
      </c>
    </row>
    <row r="303" spans="2:27" ht="15">
      <c r="B303" s="94"/>
      <c r="AA303" s="573">
        <v>302</v>
      </c>
    </row>
    <row r="304" spans="2:27" ht="15">
      <c r="B304" s="94"/>
      <c r="AA304" s="573">
        <v>303</v>
      </c>
    </row>
    <row r="305" spans="2:27" ht="15">
      <c r="B305" s="94"/>
      <c r="AA305" s="573">
        <v>304</v>
      </c>
    </row>
    <row r="306" spans="2:27" ht="15">
      <c r="B306" s="94"/>
      <c r="AA306" s="573">
        <v>305</v>
      </c>
    </row>
    <row r="307" spans="2:27" ht="15">
      <c r="B307" s="94"/>
      <c r="AA307" s="573">
        <v>306</v>
      </c>
    </row>
    <row r="308" spans="2:27" ht="15">
      <c r="B308" s="94"/>
      <c r="AA308" s="573">
        <v>307</v>
      </c>
    </row>
    <row r="309" spans="2:27" ht="15">
      <c r="B309" s="94"/>
      <c r="AA309" s="573">
        <v>308</v>
      </c>
    </row>
    <row r="310" spans="2:27" ht="15">
      <c r="B310" s="94"/>
      <c r="AA310" s="573">
        <v>309</v>
      </c>
    </row>
    <row r="311" spans="2:27" ht="15">
      <c r="B311" s="94"/>
      <c r="AA311" s="573">
        <v>310</v>
      </c>
    </row>
    <row r="312" spans="2:27" ht="15">
      <c r="B312" s="94"/>
      <c r="AA312" s="573">
        <v>311</v>
      </c>
    </row>
    <row r="313" spans="2:27" ht="15">
      <c r="B313" s="94"/>
      <c r="AA313" s="573">
        <v>312</v>
      </c>
    </row>
    <row r="314" spans="2:27" ht="15">
      <c r="B314" s="94"/>
      <c r="AA314" s="573">
        <v>313</v>
      </c>
    </row>
    <row r="315" spans="2:27" ht="15">
      <c r="B315" s="94"/>
      <c r="AA315" s="573">
        <v>314</v>
      </c>
    </row>
    <row r="316" spans="2:27" ht="15">
      <c r="B316" s="94"/>
      <c r="AA316" s="573">
        <v>315</v>
      </c>
    </row>
    <row r="317" spans="2:27" ht="15">
      <c r="B317" s="94"/>
      <c r="AA317" s="573">
        <v>316</v>
      </c>
    </row>
    <row r="318" spans="2:27" ht="15">
      <c r="B318" s="94"/>
      <c r="AA318" s="573">
        <v>317</v>
      </c>
    </row>
    <row r="319" spans="2:27" ht="15">
      <c r="B319" s="94"/>
      <c r="AA319" s="573">
        <v>318</v>
      </c>
    </row>
    <row r="320" spans="2:27" ht="15">
      <c r="B320" s="94"/>
      <c r="AA320" s="573">
        <v>319</v>
      </c>
    </row>
    <row r="321" spans="2:27" ht="15">
      <c r="B321" s="94"/>
      <c r="AA321" s="573">
        <v>320</v>
      </c>
    </row>
    <row r="322" spans="2:27" ht="15">
      <c r="B322" s="94"/>
      <c r="AA322" s="573">
        <v>321</v>
      </c>
    </row>
    <row r="323" spans="2:27" ht="15">
      <c r="B323" s="94"/>
      <c r="AA323" s="573">
        <v>322</v>
      </c>
    </row>
    <row r="324" spans="2:27" ht="15">
      <c r="B324" s="94"/>
      <c r="AA324" s="573">
        <v>323</v>
      </c>
    </row>
    <row r="325" spans="2:27" ht="15">
      <c r="B325" s="94"/>
      <c r="AA325" s="573">
        <v>324</v>
      </c>
    </row>
    <row r="326" spans="2:27" ht="15">
      <c r="B326" s="94"/>
      <c r="AA326" s="573">
        <v>325</v>
      </c>
    </row>
    <row r="327" spans="2:27" ht="15">
      <c r="B327" s="94"/>
      <c r="AA327" s="573">
        <v>326</v>
      </c>
    </row>
    <row r="328" spans="2:27" ht="15">
      <c r="B328" s="94"/>
      <c r="AA328" s="573">
        <v>327</v>
      </c>
    </row>
    <row r="329" spans="2:27" ht="15">
      <c r="B329" s="94"/>
      <c r="AA329" s="573">
        <v>328</v>
      </c>
    </row>
    <row r="330" spans="2:27" ht="15">
      <c r="B330" s="94"/>
      <c r="AA330" s="573">
        <v>329</v>
      </c>
    </row>
    <row r="331" spans="2:27" ht="15">
      <c r="B331" s="94"/>
      <c r="AA331" s="573">
        <v>330</v>
      </c>
    </row>
    <row r="332" spans="2:27" ht="15">
      <c r="B332" s="94"/>
      <c r="AA332" s="573">
        <v>331</v>
      </c>
    </row>
    <row r="333" spans="2:27" ht="15">
      <c r="B333" s="94"/>
      <c r="AA333" s="573">
        <v>332</v>
      </c>
    </row>
    <row r="334" spans="2:27" ht="15">
      <c r="B334" s="94"/>
      <c r="AA334" s="573">
        <v>333</v>
      </c>
    </row>
    <row r="335" spans="2:27" ht="15">
      <c r="B335" s="94"/>
      <c r="AA335" s="573">
        <v>334</v>
      </c>
    </row>
    <row r="336" spans="2:27" ht="15">
      <c r="B336" s="94"/>
      <c r="AA336" s="573">
        <v>335</v>
      </c>
    </row>
    <row r="337" spans="2:27" ht="15">
      <c r="B337" s="94"/>
      <c r="AA337" s="573">
        <v>336</v>
      </c>
    </row>
    <row r="338" spans="2:27" ht="15">
      <c r="B338" s="94"/>
      <c r="AA338" s="573">
        <v>337</v>
      </c>
    </row>
    <row r="339" spans="2:27" ht="15">
      <c r="B339" s="94"/>
      <c r="AA339" s="573">
        <v>338</v>
      </c>
    </row>
    <row r="340" spans="2:27" ht="15">
      <c r="B340" s="94"/>
      <c r="AA340" s="573">
        <v>339</v>
      </c>
    </row>
    <row r="341" spans="2:27" ht="15">
      <c r="B341" s="94"/>
      <c r="AA341" s="573">
        <v>340</v>
      </c>
    </row>
    <row r="342" spans="2:27" ht="15">
      <c r="B342" s="94"/>
      <c r="AA342" s="573">
        <v>341</v>
      </c>
    </row>
    <row r="343" spans="2:27" ht="15">
      <c r="B343" s="94"/>
      <c r="AA343" s="573">
        <v>342</v>
      </c>
    </row>
    <row r="344" spans="2:27" ht="15">
      <c r="B344" s="94"/>
      <c r="AA344" s="573">
        <v>343</v>
      </c>
    </row>
    <row r="345" spans="2:27" ht="15">
      <c r="B345" s="94"/>
      <c r="AA345" s="573">
        <v>344</v>
      </c>
    </row>
    <row r="346" spans="2:27" ht="15">
      <c r="B346" s="94"/>
      <c r="AA346" s="573">
        <v>345</v>
      </c>
    </row>
    <row r="347" spans="2:27" ht="15">
      <c r="B347" s="94"/>
      <c r="AA347" s="573">
        <v>346</v>
      </c>
    </row>
    <row r="348" spans="2:27" ht="15">
      <c r="B348" s="94"/>
      <c r="AA348" s="573">
        <v>347</v>
      </c>
    </row>
    <row r="349" spans="2:27" ht="15">
      <c r="B349" s="94"/>
      <c r="AA349" s="573">
        <v>348</v>
      </c>
    </row>
    <row r="350" spans="2:27" ht="15">
      <c r="B350" s="94"/>
      <c r="AA350" s="573">
        <v>349</v>
      </c>
    </row>
    <row r="351" spans="2:27" ht="15">
      <c r="B351" s="94"/>
      <c r="AA351" s="573">
        <v>350</v>
      </c>
    </row>
    <row r="352" ht="15">
      <c r="B352" s="94"/>
    </row>
    <row r="353" ht="15">
      <c r="B353" s="94"/>
    </row>
    <row r="354" ht="15">
      <c r="B354" s="94"/>
    </row>
    <row r="355" ht="15">
      <c r="B355" s="94"/>
    </row>
    <row r="356" ht="15">
      <c r="B356" s="94"/>
    </row>
    <row r="357" ht="15">
      <c r="B357" s="94"/>
    </row>
    <row r="358" ht="15">
      <c r="B358" s="94"/>
    </row>
    <row r="359" ht="15">
      <c r="B359" s="94"/>
    </row>
    <row r="360" ht="15">
      <c r="B360" s="94"/>
    </row>
    <row r="361" ht="15">
      <c r="B361" s="94"/>
    </row>
    <row r="362" ht="15">
      <c r="B362" s="94"/>
    </row>
    <row r="363" ht="15">
      <c r="B363" s="94"/>
    </row>
    <row r="364" ht="15">
      <c r="B364" s="94"/>
    </row>
    <row r="365" ht="15">
      <c r="B365" s="94"/>
    </row>
    <row r="366" ht="15">
      <c r="B366" s="94"/>
    </row>
    <row r="367" ht="15">
      <c r="B367" s="94"/>
    </row>
    <row r="368" ht="15">
      <c r="B368" s="94"/>
    </row>
    <row r="369" ht="15">
      <c r="B369" s="94"/>
    </row>
    <row r="370" ht="15">
      <c r="B370" s="94"/>
    </row>
    <row r="371" ht="15">
      <c r="B371" s="94"/>
    </row>
    <row r="372" ht="15">
      <c r="B372" s="94"/>
    </row>
    <row r="373" ht="15">
      <c r="B373" s="94"/>
    </row>
    <row r="374" ht="15">
      <c r="B374" s="94"/>
    </row>
    <row r="375" ht="15">
      <c r="B375" s="94"/>
    </row>
    <row r="376" ht="15">
      <c r="B376" s="94"/>
    </row>
    <row r="377" ht="15">
      <c r="B377" s="94"/>
    </row>
    <row r="378" ht="15">
      <c r="B378" s="94"/>
    </row>
    <row r="379" ht="15">
      <c r="B379" s="94"/>
    </row>
    <row r="380" ht="15">
      <c r="B380" s="94"/>
    </row>
    <row r="381" ht="15">
      <c r="B381" s="94"/>
    </row>
    <row r="382" ht="15">
      <c r="B382" s="94"/>
    </row>
    <row r="383" ht="15">
      <c r="B383" s="94"/>
    </row>
    <row r="384" ht="15">
      <c r="B384" s="94"/>
    </row>
    <row r="385" ht="15">
      <c r="B385" s="94"/>
    </row>
    <row r="386" ht="15">
      <c r="B386" s="94"/>
    </row>
    <row r="387" ht="15">
      <c r="B387" s="94"/>
    </row>
    <row r="388" ht="15">
      <c r="B388" s="94"/>
    </row>
    <row r="389" ht="15">
      <c r="B389" s="94"/>
    </row>
    <row r="390" ht="15">
      <c r="B390" s="94"/>
    </row>
    <row r="391" ht="15">
      <c r="B391" s="94"/>
    </row>
    <row r="392" ht="15">
      <c r="B392" s="94"/>
    </row>
    <row r="393" ht="15">
      <c r="B393" s="94"/>
    </row>
    <row r="394" ht="15">
      <c r="B394" s="94"/>
    </row>
    <row r="395" ht="15">
      <c r="B395" s="94"/>
    </row>
    <row r="396" ht="15">
      <c r="B396" s="94"/>
    </row>
    <row r="397" ht="15">
      <c r="B397" s="94"/>
    </row>
    <row r="398" ht="15">
      <c r="B398" s="94"/>
    </row>
    <row r="399" ht="15">
      <c r="B399" s="94"/>
    </row>
    <row r="400" ht="15">
      <c r="B400" s="94"/>
    </row>
    <row r="401" ht="15">
      <c r="B401" s="94"/>
    </row>
    <row r="402" ht="15">
      <c r="B402" s="94"/>
    </row>
    <row r="403" ht="15">
      <c r="B403" s="94"/>
    </row>
    <row r="404" ht="15">
      <c r="B404" s="94"/>
    </row>
    <row r="405" ht="15">
      <c r="B405" s="94"/>
    </row>
    <row r="406" ht="15">
      <c r="B406" s="94"/>
    </row>
    <row r="407" ht="15">
      <c r="B407" s="94"/>
    </row>
    <row r="408" ht="15">
      <c r="B408" s="94"/>
    </row>
    <row r="409" ht="15">
      <c r="B409" s="94"/>
    </row>
    <row r="410" ht="15">
      <c r="B410" s="94"/>
    </row>
    <row r="411" ht="15">
      <c r="B411" s="94"/>
    </row>
    <row r="412" ht="15">
      <c r="B412" s="94"/>
    </row>
    <row r="413" ht="15">
      <c r="B413" s="94"/>
    </row>
    <row r="414" ht="15">
      <c r="B414" s="94"/>
    </row>
    <row r="415" ht="15">
      <c r="B415" s="94"/>
    </row>
    <row r="416" ht="15">
      <c r="B416" s="94"/>
    </row>
    <row r="417" ht="15">
      <c r="B417" s="94"/>
    </row>
    <row r="418" ht="15">
      <c r="B418" s="94"/>
    </row>
    <row r="419" ht="15">
      <c r="B419" s="94"/>
    </row>
    <row r="420" ht="15">
      <c r="B420" s="94"/>
    </row>
    <row r="421" ht="15">
      <c r="B421" s="94"/>
    </row>
    <row r="422" ht="15">
      <c r="B422" s="94"/>
    </row>
    <row r="423" ht="15">
      <c r="B423" s="94"/>
    </row>
    <row r="424" ht="15">
      <c r="B424" s="94"/>
    </row>
    <row r="425" ht="15">
      <c r="B425" s="94"/>
    </row>
    <row r="426" ht="15">
      <c r="B426" s="94"/>
    </row>
    <row r="427" ht="15">
      <c r="B427" s="94"/>
    </row>
    <row r="428" ht="15">
      <c r="B428" s="94"/>
    </row>
    <row r="429" ht="15">
      <c r="B429" s="94"/>
    </row>
    <row r="430" ht="15">
      <c r="B430" s="94"/>
    </row>
    <row r="431" ht="15">
      <c r="B431" s="94"/>
    </row>
    <row r="432" ht="15">
      <c r="B432" s="94"/>
    </row>
    <row r="433" ht="15">
      <c r="B433" s="94"/>
    </row>
    <row r="434" ht="15">
      <c r="B434" s="94"/>
    </row>
    <row r="435" ht="15">
      <c r="B435" s="94"/>
    </row>
    <row r="436" ht="15">
      <c r="B436" s="94"/>
    </row>
    <row r="437" ht="15">
      <c r="B437" s="94"/>
    </row>
    <row r="438" ht="15">
      <c r="B438" s="94"/>
    </row>
    <row r="439" ht="15">
      <c r="B439" s="94"/>
    </row>
    <row r="440" ht="15">
      <c r="B440" s="94"/>
    </row>
    <row r="441" ht="15">
      <c r="B441" s="94"/>
    </row>
    <row r="442" ht="15">
      <c r="B442" s="94"/>
    </row>
    <row r="443" ht="15">
      <c r="B443" s="94"/>
    </row>
    <row r="444" ht="15">
      <c r="B444" s="94"/>
    </row>
    <row r="445" ht="15">
      <c r="B445" s="94"/>
    </row>
    <row r="446" ht="15">
      <c r="B446" s="94"/>
    </row>
    <row r="447" ht="15">
      <c r="B447" s="94"/>
    </row>
    <row r="448" ht="15">
      <c r="B448" s="94"/>
    </row>
    <row r="449" ht="15">
      <c r="B449" s="94"/>
    </row>
    <row r="450" ht="15">
      <c r="B450" s="94"/>
    </row>
    <row r="451" ht="15">
      <c r="B451" s="94"/>
    </row>
    <row r="452" ht="15">
      <c r="B452" s="94"/>
    </row>
    <row r="453" ht="15">
      <c r="B453" s="94"/>
    </row>
    <row r="454" ht="15">
      <c r="B454" s="94"/>
    </row>
    <row r="455" ht="15">
      <c r="B455" s="94"/>
    </row>
    <row r="456" ht="15">
      <c r="B456" s="94"/>
    </row>
    <row r="457" ht="15">
      <c r="B457" s="94"/>
    </row>
    <row r="458" ht="15">
      <c r="B458" s="94"/>
    </row>
    <row r="459" ht="15">
      <c r="B459" s="94"/>
    </row>
    <row r="460" ht="15">
      <c r="B460" s="94"/>
    </row>
    <row r="461" ht="15">
      <c r="B461" s="94"/>
    </row>
    <row r="462" ht="15">
      <c r="B462" s="94"/>
    </row>
    <row r="463" ht="15">
      <c r="B463" s="94"/>
    </row>
    <row r="464" ht="15">
      <c r="B464" s="94"/>
    </row>
    <row r="465" ht="15">
      <c r="B465" s="94"/>
    </row>
    <row r="466" ht="15">
      <c r="B466" s="94"/>
    </row>
    <row r="467" ht="15">
      <c r="B467" s="94"/>
    </row>
    <row r="468" ht="15">
      <c r="B468" s="94"/>
    </row>
    <row r="469" ht="15">
      <c r="B469" s="94"/>
    </row>
    <row r="470" ht="15">
      <c r="B470" s="94"/>
    </row>
    <row r="471" ht="15">
      <c r="B471" s="94"/>
    </row>
    <row r="472" ht="15">
      <c r="B472" s="94"/>
    </row>
    <row r="473" ht="15">
      <c r="B473" s="94"/>
    </row>
    <row r="474" ht="15">
      <c r="B474" s="94"/>
    </row>
    <row r="475" ht="15">
      <c r="B475" s="94"/>
    </row>
    <row r="476" ht="15">
      <c r="B476" s="94"/>
    </row>
    <row r="477" ht="15">
      <c r="B477" s="94"/>
    </row>
    <row r="478" ht="15">
      <c r="B478" s="94"/>
    </row>
    <row r="479" ht="15">
      <c r="B479" s="94"/>
    </row>
    <row r="480" ht="15">
      <c r="B480" s="94"/>
    </row>
    <row r="481" ht="15">
      <c r="B481" s="94"/>
    </row>
    <row r="482" ht="15">
      <c r="B482" s="94"/>
    </row>
    <row r="483" ht="15">
      <c r="B483" s="94"/>
    </row>
    <row r="484" ht="15">
      <c r="B484" s="94"/>
    </row>
    <row r="485" ht="15">
      <c r="B485" s="94"/>
    </row>
    <row r="486" ht="15">
      <c r="B486" s="94"/>
    </row>
    <row r="487" ht="15">
      <c r="B487" s="94"/>
    </row>
    <row r="488" ht="15">
      <c r="B488" s="94"/>
    </row>
    <row r="489" ht="15">
      <c r="B489" s="94"/>
    </row>
    <row r="490" ht="15">
      <c r="B490" s="94"/>
    </row>
    <row r="491" ht="15">
      <c r="B491" s="94"/>
    </row>
    <row r="492" ht="15">
      <c r="B492" s="94"/>
    </row>
    <row r="493" ht="15">
      <c r="B493" s="94"/>
    </row>
    <row r="494" ht="15">
      <c r="B494" s="94"/>
    </row>
    <row r="495" ht="15">
      <c r="B495" s="94"/>
    </row>
    <row r="496" ht="15">
      <c r="B496" s="94"/>
    </row>
    <row r="497" ht="15">
      <c r="B497" s="94"/>
    </row>
    <row r="498" ht="15">
      <c r="B498" s="94"/>
    </row>
    <row r="499" ht="15">
      <c r="B499" s="94"/>
    </row>
    <row r="500" ht="15">
      <c r="B500" s="94"/>
    </row>
    <row r="501" ht="15">
      <c r="B501" s="94"/>
    </row>
    <row r="502" ht="15">
      <c r="B502" s="94"/>
    </row>
    <row r="503" ht="15">
      <c r="B503" s="94"/>
    </row>
    <row r="504" ht="15">
      <c r="B504" s="94"/>
    </row>
    <row r="505" ht="15">
      <c r="B505" s="94"/>
    </row>
    <row r="506" ht="15">
      <c r="B506" s="94"/>
    </row>
    <row r="507" ht="15">
      <c r="B507" s="94"/>
    </row>
    <row r="508" ht="15">
      <c r="B508" s="94"/>
    </row>
    <row r="509" ht="15">
      <c r="B509" s="94"/>
    </row>
    <row r="510" ht="15">
      <c r="B510" s="94"/>
    </row>
    <row r="511" ht="15">
      <c r="B511" s="94"/>
    </row>
    <row r="512" ht="15">
      <c r="B512" s="94"/>
    </row>
    <row r="513" ht="15">
      <c r="B513" s="94"/>
    </row>
    <row r="514" ht="15">
      <c r="B514" s="94"/>
    </row>
    <row r="515" ht="15">
      <c r="B515" s="94"/>
    </row>
    <row r="516" ht="15">
      <c r="B516" s="94"/>
    </row>
    <row r="517" ht="15">
      <c r="B517" s="94"/>
    </row>
    <row r="518" ht="15">
      <c r="B518" s="94"/>
    </row>
    <row r="519" ht="15">
      <c r="B519" s="94"/>
    </row>
    <row r="520" ht="15">
      <c r="B520" s="94"/>
    </row>
    <row r="521" ht="15">
      <c r="B521" s="94"/>
    </row>
    <row r="522" ht="15">
      <c r="B522" s="94"/>
    </row>
    <row r="523" ht="15">
      <c r="B523" s="94"/>
    </row>
    <row r="524" ht="15">
      <c r="B524" s="94"/>
    </row>
    <row r="525" ht="15">
      <c r="B525" s="94"/>
    </row>
    <row r="526" ht="15">
      <c r="B526" s="94"/>
    </row>
    <row r="527" ht="15">
      <c r="B527" s="94"/>
    </row>
    <row r="528" ht="15">
      <c r="B528" s="94"/>
    </row>
    <row r="529" ht="15">
      <c r="B529" s="94"/>
    </row>
    <row r="530" ht="15">
      <c r="B530" s="94"/>
    </row>
    <row r="531" ht="15">
      <c r="B531" s="94"/>
    </row>
    <row r="532" ht="15">
      <c r="B532" s="94"/>
    </row>
    <row r="533" ht="15">
      <c r="B533" s="94"/>
    </row>
    <row r="534" ht="15">
      <c r="B534" s="94"/>
    </row>
    <row r="535" ht="15">
      <c r="B535" s="94"/>
    </row>
    <row r="536" ht="15">
      <c r="B536" s="94"/>
    </row>
    <row r="537" ht="15">
      <c r="B537" s="94"/>
    </row>
    <row r="538" ht="15">
      <c r="B538" s="94"/>
    </row>
    <row r="539" ht="15">
      <c r="B539" s="94"/>
    </row>
    <row r="540" ht="15">
      <c r="B540" s="94"/>
    </row>
    <row r="541" ht="15">
      <c r="B541" s="94"/>
    </row>
    <row r="542" ht="15">
      <c r="B542" s="94"/>
    </row>
    <row r="543" ht="15">
      <c r="B543" s="94"/>
    </row>
    <row r="544" ht="15">
      <c r="B544" s="94"/>
    </row>
    <row r="545" ht="15">
      <c r="B545" s="94"/>
    </row>
    <row r="546" ht="15">
      <c r="B546" s="94"/>
    </row>
    <row r="547" ht="15">
      <c r="B547" s="94"/>
    </row>
    <row r="548" ht="15">
      <c r="B548" s="94"/>
    </row>
    <row r="549" ht="15">
      <c r="B549" s="94"/>
    </row>
    <row r="550" ht="15">
      <c r="B550" s="94"/>
    </row>
    <row r="551" ht="15">
      <c r="B551" s="94"/>
    </row>
    <row r="552" ht="15">
      <c r="B552" s="94"/>
    </row>
    <row r="553" ht="15">
      <c r="B553" s="94"/>
    </row>
    <row r="554" ht="15">
      <c r="B554" s="94"/>
    </row>
    <row r="555" ht="15">
      <c r="B555" s="94"/>
    </row>
    <row r="556" ht="15">
      <c r="B556" s="94"/>
    </row>
    <row r="557" ht="15">
      <c r="B557" s="94"/>
    </row>
    <row r="558" ht="15">
      <c r="B558" s="94"/>
    </row>
    <row r="559" ht="15">
      <c r="B559" s="94"/>
    </row>
    <row r="560" ht="15">
      <c r="B560" s="94"/>
    </row>
    <row r="561" ht="15">
      <c r="B561" s="94"/>
    </row>
    <row r="562" ht="15">
      <c r="B562" s="94"/>
    </row>
    <row r="563" ht="15">
      <c r="B563" s="94"/>
    </row>
    <row r="564" ht="15">
      <c r="B564" s="94"/>
    </row>
    <row r="565" ht="15">
      <c r="B565" s="94"/>
    </row>
    <row r="566" ht="15">
      <c r="B566" s="94"/>
    </row>
    <row r="567" ht="15">
      <c r="B567" s="94"/>
    </row>
    <row r="568" ht="15">
      <c r="B568" s="94"/>
    </row>
    <row r="569" ht="15">
      <c r="B569" s="94"/>
    </row>
    <row r="570" ht="15">
      <c r="B570" s="94"/>
    </row>
    <row r="571" ht="15">
      <c r="B571" s="94"/>
    </row>
    <row r="572" ht="15">
      <c r="B572" s="94"/>
    </row>
    <row r="573" ht="15">
      <c r="B573" s="94"/>
    </row>
    <row r="574" ht="15">
      <c r="B574" s="94"/>
    </row>
    <row r="575" ht="15">
      <c r="B575" s="94"/>
    </row>
    <row r="576" ht="15">
      <c r="B576" s="94"/>
    </row>
    <row r="577" ht="15">
      <c r="B577" s="94"/>
    </row>
    <row r="578" ht="15">
      <c r="B578" s="94"/>
    </row>
    <row r="579" ht="15">
      <c r="B579" s="94"/>
    </row>
    <row r="580" ht="15">
      <c r="B580" s="94"/>
    </row>
    <row r="581" ht="15">
      <c r="B581" s="94"/>
    </row>
    <row r="582" ht="15">
      <c r="B582" s="94"/>
    </row>
    <row r="583" ht="15">
      <c r="B583" s="94"/>
    </row>
    <row r="584" ht="15">
      <c r="B584" s="94"/>
    </row>
    <row r="585" ht="15">
      <c r="B585" s="94"/>
    </row>
    <row r="586" ht="15">
      <c r="B586" s="94"/>
    </row>
    <row r="587" ht="15">
      <c r="B587" s="94"/>
    </row>
    <row r="588" ht="15">
      <c r="B588" s="94"/>
    </row>
    <row r="589" ht="15">
      <c r="B589" s="94"/>
    </row>
    <row r="590" ht="15">
      <c r="B590" s="94"/>
    </row>
    <row r="591" ht="15">
      <c r="B591" s="94"/>
    </row>
    <row r="592" ht="15">
      <c r="B592" s="94"/>
    </row>
    <row r="593" ht="15">
      <c r="B593" s="94"/>
    </row>
    <row r="594" ht="15">
      <c r="B594" s="94"/>
    </row>
    <row r="595" ht="15">
      <c r="B595" s="94"/>
    </row>
    <row r="596" ht="15">
      <c r="B596" s="94"/>
    </row>
    <row r="597" ht="15">
      <c r="B597" s="94"/>
    </row>
    <row r="598" ht="15">
      <c r="B598" s="94"/>
    </row>
    <row r="599" ht="15">
      <c r="B599" s="94"/>
    </row>
    <row r="600" ht="15">
      <c r="B600" s="94"/>
    </row>
    <row r="601" ht="15">
      <c r="B601" s="94"/>
    </row>
    <row r="602" ht="15">
      <c r="B602" s="94"/>
    </row>
    <row r="603" ht="15">
      <c r="B603" s="94"/>
    </row>
    <row r="604" ht="15">
      <c r="B604" s="94"/>
    </row>
    <row r="605" ht="15">
      <c r="B605" s="94"/>
    </row>
    <row r="606" ht="15">
      <c r="B606" s="94"/>
    </row>
    <row r="607" ht="15">
      <c r="B607" s="94"/>
    </row>
    <row r="608" ht="15">
      <c r="B608" s="94"/>
    </row>
    <row r="609" ht="15">
      <c r="B609" s="94"/>
    </row>
    <row r="610" ht="15">
      <c r="B610" s="94"/>
    </row>
    <row r="611" ht="15">
      <c r="B611" s="94"/>
    </row>
    <row r="612" ht="15">
      <c r="B612" s="94"/>
    </row>
    <row r="613" ht="15">
      <c r="B613" s="94"/>
    </row>
    <row r="614" ht="15">
      <c r="B614" s="94"/>
    </row>
    <row r="615" ht="15">
      <c r="B615" s="94"/>
    </row>
    <row r="616" ht="15">
      <c r="B616" s="94"/>
    </row>
    <row r="617" ht="15">
      <c r="B617" s="94"/>
    </row>
    <row r="618" ht="15">
      <c r="B618" s="94"/>
    </row>
    <row r="619" ht="15">
      <c r="B619" s="94"/>
    </row>
    <row r="620" ht="15">
      <c r="B620" s="94"/>
    </row>
    <row r="621" ht="15">
      <c r="B621" s="94"/>
    </row>
    <row r="622" ht="15">
      <c r="B622" s="94"/>
    </row>
    <row r="623" ht="15">
      <c r="B623" s="94"/>
    </row>
    <row r="624" ht="15">
      <c r="B624" s="94"/>
    </row>
    <row r="625" ht="15">
      <c r="B625" s="94"/>
    </row>
    <row r="626" ht="15">
      <c r="B626" s="94"/>
    </row>
    <row r="627" ht="15">
      <c r="B627" s="94"/>
    </row>
    <row r="628" ht="15">
      <c r="B628" s="94"/>
    </row>
    <row r="629" ht="15">
      <c r="B629" s="94"/>
    </row>
    <row r="630" ht="15">
      <c r="B630" s="94"/>
    </row>
    <row r="631" ht="15">
      <c r="B631" s="94"/>
    </row>
    <row r="632" ht="15">
      <c r="B632" s="94"/>
    </row>
    <row r="633" ht="15">
      <c r="B633" s="94"/>
    </row>
    <row r="634" ht="15">
      <c r="B634" s="94"/>
    </row>
    <row r="635" ht="15">
      <c r="B635" s="94"/>
    </row>
    <row r="636" ht="15">
      <c r="B636" s="94"/>
    </row>
    <row r="637" ht="15">
      <c r="B637" s="94"/>
    </row>
    <row r="638" ht="15">
      <c r="B638" s="94"/>
    </row>
    <row r="639" ht="15">
      <c r="B639" s="94"/>
    </row>
    <row r="640" ht="15">
      <c r="B640" s="94"/>
    </row>
    <row r="641" ht="15">
      <c r="B641" s="94"/>
    </row>
    <row r="642" ht="15">
      <c r="B642" s="94"/>
    </row>
    <row r="643" ht="15">
      <c r="B643" s="94"/>
    </row>
    <row r="644" ht="15">
      <c r="B644" s="94"/>
    </row>
    <row r="645" ht="15">
      <c r="B645" s="94"/>
    </row>
    <row r="646" ht="15">
      <c r="B646" s="94"/>
    </row>
    <row r="647" ht="15">
      <c r="B647" s="94"/>
    </row>
    <row r="648" ht="15">
      <c r="B648" s="94"/>
    </row>
    <row r="649" ht="15">
      <c r="B649" s="94"/>
    </row>
    <row r="650" ht="15">
      <c r="B650" s="94"/>
    </row>
    <row r="651" ht="15">
      <c r="B651" s="94"/>
    </row>
    <row r="652" ht="15">
      <c r="B652" s="94"/>
    </row>
    <row r="653" ht="15">
      <c r="B653" s="94"/>
    </row>
    <row r="654" ht="15">
      <c r="B654" s="94"/>
    </row>
    <row r="655" spans="2:26" ht="15">
      <c r="B655" s="94"/>
      <c r="C655" s="129" t="s">
        <v>1073</v>
      </c>
      <c r="D655" s="129" t="s">
        <v>1073</v>
      </c>
      <c r="E655" s="129" t="s">
        <v>1073</v>
      </c>
      <c r="F655" s="129" t="s">
        <v>1073</v>
      </c>
      <c r="G655" s="129" t="s">
        <v>1073</v>
      </c>
      <c r="H655" s="129" t="s">
        <v>1073</v>
      </c>
      <c r="I655" s="401" t="s">
        <v>1073</v>
      </c>
      <c r="J655" s="401" t="s">
        <v>1073</v>
      </c>
      <c r="K655" s="401" t="s">
        <v>1073</v>
      </c>
      <c r="L655" s="401" t="s">
        <v>1073</v>
      </c>
      <c r="M655" s="401" t="s">
        <v>1073</v>
      </c>
      <c r="N655" s="129" t="s">
        <v>1073</v>
      </c>
      <c r="O655" s="129" t="s">
        <v>1073</v>
      </c>
      <c r="P655" s="401" t="s">
        <v>1073</v>
      </c>
      <c r="Q655" s="401" t="s">
        <v>1073</v>
      </c>
      <c r="R655" s="401" t="s">
        <v>1073</v>
      </c>
      <c r="S655" s="401" t="s">
        <v>1073</v>
      </c>
      <c r="T655" s="401" t="s">
        <v>1073</v>
      </c>
      <c r="U655" s="401" t="s">
        <v>1073</v>
      </c>
      <c r="V655" s="401" t="s">
        <v>1073</v>
      </c>
      <c r="W655" s="401" t="s">
        <v>1073</v>
      </c>
      <c r="X655" s="401" t="s">
        <v>1073</v>
      </c>
      <c r="Y655" s="401" t="s">
        <v>1073</v>
      </c>
      <c r="Z655" s="401" t="s">
        <v>1073</v>
      </c>
    </row>
    <row r="656" spans="1:26" ht="15">
      <c r="A656" s="129" t="s">
        <v>1073</v>
      </c>
      <c r="B656" s="167" t="s">
        <v>1073</v>
      </c>
      <c r="C656" s="129" t="s">
        <v>1073</v>
      </c>
      <c r="D656" s="129" t="s">
        <v>1073</v>
      </c>
      <c r="E656" s="129" t="s">
        <v>1073</v>
      </c>
      <c r="F656" s="129" t="s">
        <v>1073</v>
      </c>
      <c r="G656" s="129" t="s">
        <v>1073</v>
      </c>
      <c r="H656" s="129" t="s">
        <v>1073</v>
      </c>
      <c r="I656" s="401" t="s">
        <v>1073</v>
      </c>
      <c r="J656" s="401" t="s">
        <v>1073</v>
      </c>
      <c r="K656" s="401" t="s">
        <v>1073</v>
      </c>
      <c r="L656" s="401" t="s">
        <v>1073</v>
      </c>
      <c r="M656" s="401" t="s">
        <v>1073</v>
      </c>
      <c r="N656" s="129" t="s">
        <v>1073</v>
      </c>
      <c r="O656" s="129" t="s">
        <v>1073</v>
      </c>
      <c r="P656" s="401" t="s">
        <v>1073</v>
      </c>
      <c r="Q656" s="401" t="s">
        <v>1073</v>
      </c>
      <c r="R656" s="401" t="s">
        <v>1073</v>
      </c>
      <c r="S656" s="401" t="s">
        <v>1073</v>
      </c>
      <c r="T656" s="401" t="s">
        <v>1073</v>
      </c>
      <c r="U656" s="401" t="s">
        <v>1073</v>
      </c>
      <c r="V656" s="401" t="s">
        <v>1073</v>
      </c>
      <c r="W656" s="401" t="s">
        <v>1073</v>
      </c>
      <c r="X656" s="401" t="s">
        <v>1073</v>
      </c>
      <c r="Y656" s="401" t="s">
        <v>1073</v>
      </c>
      <c r="Z656" s="401" t="s">
        <v>1073</v>
      </c>
    </row>
    <row r="657" spans="1:26" ht="15">
      <c r="A657" s="129" t="s">
        <v>1073</v>
      </c>
      <c r="B657" s="167" t="s">
        <v>1073</v>
      </c>
      <c r="C657" s="129" t="s">
        <v>1073</v>
      </c>
      <c r="D657" s="129" t="s">
        <v>1073</v>
      </c>
      <c r="E657" s="129" t="s">
        <v>1073</v>
      </c>
      <c r="F657" s="129" t="s">
        <v>1073</v>
      </c>
      <c r="G657" s="129" t="s">
        <v>1073</v>
      </c>
      <c r="H657" s="129" t="s">
        <v>1073</v>
      </c>
      <c r="I657" s="401" t="s">
        <v>1073</v>
      </c>
      <c r="J657" s="401" t="s">
        <v>1073</v>
      </c>
      <c r="K657" s="401" t="s">
        <v>1073</v>
      </c>
      <c r="L657" s="401" t="s">
        <v>1073</v>
      </c>
      <c r="M657" s="401" t="s">
        <v>1073</v>
      </c>
      <c r="N657" s="129" t="s">
        <v>1073</v>
      </c>
      <c r="O657" s="129" t="s">
        <v>1073</v>
      </c>
      <c r="P657" s="401" t="s">
        <v>1073</v>
      </c>
      <c r="Q657" s="401" t="s">
        <v>1073</v>
      </c>
      <c r="R657" s="401" t="s">
        <v>1073</v>
      </c>
      <c r="S657" s="401" t="s">
        <v>1073</v>
      </c>
      <c r="T657" s="401" t="s">
        <v>1073</v>
      </c>
      <c r="U657" s="401" t="s">
        <v>1073</v>
      </c>
      <c r="V657" s="401" t="s">
        <v>1073</v>
      </c>
      <c r="W657" s="401" t="s">
        <v>1073</v>
      </c>
      <c r="X657" s="401" t="s">
        <v>1073</v>
      </c>
      <c r="Y657" s="401" t="s">
        <v>1073</v>
      </c>
      <c r="Z657" s="401" t="s">
        <v>1073</v>
      </c>
    </row>
    <row r="658" spans="1:26" ht="15">
      <c r="A658" s="129" t="s">
        <v>1073</v>
      </c>
      <c r="B658" s="167" t="s">
        <v>1073</v>
      </c>
      <c r="C658" s="129" t="s">
        <v>1073</v>
      </c>
      <c r="D658" s="129" t="s">
        <v>1073</v>
      </c>
      <c r="E658" s="129" t="s">
        <v>1073</v>
      </c>
      <c r="F658" s="129" t="s">
        <v>1073</v>
      </c>
      <c r="G658" s="129" t="s">
        <v>1073</v>
      </c>
      <c r="H658" s="129" t="s">
        <v>1073</v>
      </c>
      <c r="I658" s="401" t="s">
        <v>1073</v>
      </c>
      <c r="J658" s="401" t="s">
        <v>1073</v>
      </c>
      <c r="K658" s="401" t="s">
        <v>1073</v>
      </c>
      <c r="L658" s="401" t="s">
        <v>1073</v>
      </c>
      <c r="M658" s="401" t="s">
        <v>1073</v>
      </c>
      <c r="N658" s="129" t="s">
        <v>1073</v>
      </c>
      <c r="O658" s="129" t="s">
        <v>1073</v>
      </c>
      <c r="P658" s="401" t="s">
        <v>1073</v>
      </c>
      <c r="Q658" s="401" t="s">
        <v>1073</v>
      </c>
      <c r="R658" s="401" t="s">
        <v>1073</v>
      </c>
      <c r="S658" s="401" t="s">
        <v>1073</v>
      </c>
      <c r="T658" s="401" t="s">
        <v>1073</v>
      </c>
      <c r="U658" s="401" t="s">
        <v>1073</v>
      </c>
      <c r="V658" s="401" t="s">
        <v>1073</v>
      </c>
      <c r="W658" s="401" t="s">
        <v>1073</v>
      </c>
      <c r="X658" s="401" t="s">
        <v>1073</v>
      </c>
      <c r="Y658" s="401" t="s">
        <v>1073</v>
      </c>
      <c r="Z658" s="401" t="s">
        <v>1073</v>
      </c>
    </row>
    <row r="659" spans="1:26" ht="15">
      <c r="A659" s="129" t="s">
        <v>1073</v>
      </c>
      <c r="B659" s="167" t="s">
        <v>1073</v>
      </c>
      <c r="C659" s="129" t="s">
        <v>1073</v>
      </c>
      <c r="D659" s="129" t="s">
        <v>1073</v>
      </c>
      <c r="E659" s="129" t="s">
        <v>1073</v>
      </c>
      <c r="F659" s="129" t="s">
        <v>1073</v>
      </c>
      <c r="G659" s="129" t="s">
        <v>1073</v>
      </c>
      <c r="H659" s="129" t="s">
        <v>1073</v>
      </c>
      <c r="I659" s="401" t="s">
        <v>1073</v>
      </c>
      <c r="J659" s="401" t="s">
        <v>1073</v>
      </c>
      <c r="K659" s="401" t="s">
        <v>1073</v>
      </c>
      <c r="L659" s="401" t="s">
        <v>1073</v>
      </c>
      <c r="M659" s="401" t="s">
        <v>1073</v>
      </c>
      <c r="N659" s="129" t="s">
        <v>1073</v>
      </c>
      <c r="O659" s="129" t="s">
        <v>1073</v>
      </c>
      <c r="P659" s="401" t="s">
        <v>1073</v>
      </c>
      <c r="Q659" s="401" t="s">
        <v>1073</v>
      </c>
      <c r="R659" s="401" t="s">
        <v>1073</v>
      </c>
      <c r="S659" s="401" t="s">
        <v>1073</v>
      </c>
      <c r="T659" s="401" t="s">
        <v>1073</v>
      </c>
      <c r="U659" s="401" t="s">
        <v>1073</v>
      </c>
      <c r="V659" s="401" t="s">
        <v>1073</v>
      </c>
      <c r="W659" s="401" t="s">
        <v>1073</v>
      </c>
      <c r="X659" s="401" t="s">
        <v>1073</v>
      </c>
      <c r="Y659" s="401" t="s">
        <v>1073</v>
      </c>
      <c r="Z659" s="401" t="s">
        <v>1073</v>
      </c>
    </row>
    <row r="660" spans="1:26" ht="15">
      <c r="A660" s="129" t="s">
        <v>1073</v>
      </c>
      <c r="B660" s="167" t="s">
        <v>1073</v>
      </c>
      <c r="C660" s="129" t="s">
        <v>1073</v>
      </c>
      <c r="D660" s="129" t="s">
        <v>1073</v>
      </c>
      <c r="E660" s="129" t="s">
        <v>1073</v>
      </c>
      <c r="F660" s="129" t="s">
        <v>1073</v>
      </c>
      <c r="G660" s="129" t="s">
        <v>1073</v>
      </c>
      <c r="H660" s="129" t="s">
        <v>1073</v>
      </c>
      <c r="I660" s="401" t="s">
        <v>1073</v>
      </c>
      <c r="J660" s="401" t="s">
        <v>1073</v>
      </c>
      <c r="K660" s="401" t="s">
        <v>1073</v>
      </c>
      <c r="L660" s="401" t="s">
        <v>1073</v>
      </c>
      <c r="M660" s="401" t="s">
        <v>1073</v>
      </c>
      <c r="N660" s="129" t="s">
        <v>1073</v>
      </c>
      <c r="O660" s="129" t="s">
        <v>1073</v>
      </c>
      <c r="P660" s="401" t="s">
        <v>1073</v>
      </c>
      <c r="Q660" s="401" t="s">
        <v>1073</v>
      </c>
      <c r="R660" s="401" t="s">
        <v>1073</v>
      </c>
      <c r="S660" s="401" t="s">
        <v>1073</v>
      </c>
      <c r="T660" s="401" t="s">
        <v>1073</v>
      </c>
      <c r="U660" s="401" t="s">
        <v>1073</v>
      </c>
      <c r="V660" s="401" t="s">
        <v>1073</v>
      </c>
      <c r="W660" s="401" t="s">
        <v>1073</v>
      </c>
      <c r="X660" s="401" t="s">
        <v>1073</v>
      </c>
      <c r="Y660" s="401" t="s">
        <v>1073</v>
      </c>
      <c r="Z660" s="401" t="s">
        <v>1073</v>
      </c>
    </row>
    <row r="661" spans="1:26" ht="15">
      <c r="A661" s="129" t="s">
        <v>1073</v>
      </c>
      <c r="B661" s="167" t="s">
        <v>1073</v>
      </c>
      <c r="C661" s="129" t="s">
        <v>1073</v>
      </c>
      <c r="D661" s="129" t="s">
        <v>1073</v>
      </c>
      <c r="E661" s="129" t="s">
        <v>1073</v>
      </c>
      <c r="F661" s="129" t="s">
        <v>1073</v>
      </c>
      <c r="G661" s="129" t="s">
        <v>1073</v>
      </c>
      <c r="H661" s="129" t="s">
        <v>1073</v>
      </c>
      <c r="I661" s="401" t="s">
        <v>1073</v>
      </c>
      <c r="J661" s="401" t="s">
        <v>1073</v>
      </c>
      <c r="K661" s="401" t="s">
        <v>1073</v>
      </c>
      <c r="L661" s="401" t="s">
        <v>1073</v>
      </c>
      <c r="M661" s="401" t="s">
        <v>1073</v>
      </c>
      <c r="N661" s="129" t="s">
        <v>1073</v>
      </c>
      <c r="O661" s="129" t="s">
        <v>1073</v>
      </c>
      <c r="P661" s="401" t="s">
        <v>1073</v>
      </c>
      <c r="Q661" s="401" t="s">
        <v>1073</v>
      </c>
      <c r="R661" s="401" t="s">
        <v>1073</v>
      </c>
      <c r="S661" s="401" t="s">
        <v>1073</v>
      </c>
      <c r="T661" s="401" t="s">
        <v>1073</v>
      </c>
      <c r="U661" s="401" t="s">
        <v>1073</v>
      </c>
      <c r="V661" s="401" t="s">
        <v>1073</v>
      </c>
      <c r="W661" s="401" t="s">
        <v>1073</v>
      </c>
      <c r="X661" s="401" t="s">
        <v>1073</v>
      </c>
      <c r="Y661" s="401" t="s">
        <v>1073</v>
      </c>
      <c r="Z661" s="401" t="s">
        <v>1073</v>
      </c>
    </row>
    <row r="662" spans="1:26" ht="15">
      <c r="A662" s="129" t="s">
        <v>1073</v>
      </c>
      <c r="B662" s="167" t="s">
        <v>1073</v>
      </c>
      <c r="C662" s="129" t="s">
        <v>1073</v>
      </c>
      <c r="D662" s="129" t="s">
        <v>1073</v>
      </c>
      <c r="E662" s="129" t="s">
        <v>1073</v>
      </c>
      <c r="F662" s="129" t="s">
        <v>1073</v>
      </c>
      <c r="G662" s="129" t="s">
        <v>1073</v>
      </c>
      <c r="H662" s="129" t="s">
        <v>1073</v>
      </c>
      <c r="I662" s="401" t="s">
        <v>1073</v>
      </c>
      <c r="J662" s="401" t="s">
        <v>1073</v>
      </c>
      <c r="K662" s="401" t="s">
        <v>1073</v>
      </c>
      <c r="L662" s="401" t="s">
        <v>1073</v>
      </c>
      <c r="M662" s="401" t="s">
        <v>1073</v>
      </c>
      <c r="N662" s="129" t="s">
        <v>1073</v>
      </c>
      <c r="O662" s="129" t="s">
        <v>1073</v>
      </c>
      <c r="P662" s="401" t="s">
        <v>1073</v>
      </c>
      <c r="Q662" s="401" t="s">
        <v>1073</v>
      </c>
      <c r="R662" s="401" t="s">
        <v>1073</v>
      </c>
      <c r="S662" s="401" t="s">
        <v>1073</v>
      </c>
      <c r="T662" s="401" t="s">
        <v>1073</v>
      </c>
      <c r="U662" s="401" t="s">
        <v>1073</v>
      </c>
      <c r="V662" s="401" t="s">
        <v>1073</v>
      </c>
      <c r="W662" s="401" t="s">
        <v>1073</v>
      </c>
      <c r="X662" s="401" t="s">
        <v>1073</v>
      </c>
      <c r="Y662" s="401" t="s">
        <v>1073</v>
      </c>
      <c r="Z662" s="401" t="s">
        <v>1073</v>
      </c>
    </row>
    <row r="663" spans="1:26" ht="15">
      <c r="A663" s="129" t="s">
        <v>1073</v>
      </c>
      <c r="B663" s="167" t="s">
        <v>1073</v>
      </c>
      <c r="C663" s="129" t="s">
        <v>1073</v>
      </c>
      <c r="D663" s="129" t="s">
        <v>1073</v>
      </c>
      <c r="E663" s="129" t="s">
        <v>1073</v>
      </c>
      <c r="F663" s="129" t="s">
        <v>1073</v>
      </c>
      <c r="G663" s="129" t="s">
        <v>1073</v>
      </c>
      <c r="H663" s="129" t="s">
        <v>1073</v>
      </c>
      <c r="I663" s="401" t="s">
        <v>1073</v>
      </c>
      <c r="J663" s="401" t="s">
        <v>1073</v>
      </c>
      <c r="K663" s="401" t="s">
        <v>1073</v>
      </c>
      <c r="L663" s="401" t="s">
        <v>1073</v>
      </c>
      <c r="M663" s="401" t="s">
        <v>1073</v>
      </c>
      <c r="N663" s="129" t="s">
        <v>1073</v>
      </c>
      <c r="O663" s="129" t="s">
        <v>1073</v>
      </c>
      <c r="P663" s="401" t="s">
        <v>1073</v>
      </c>
      <c r="Q663" s="401" t="s">
        <v>1073</v>
      </c>
      <c r="R663" s="401" t="s">
        <v>1073</v>
      </c>
      <c r="S663" s="401" t="s">
        <v>1073</v>
      </c>
      <c r="T663" s="401" t="s">
        <v>1073</v>
      </c>
      <c r="U663" s="401" t="s">
        <v>1073</v>
      </c>
      <c r="V663" s="401" t="s">
        <v>1073</v>
      </c>
      <c r="W663" s="401" t="s">
        <v>1073</v>
      </c>
      <c r="X663" s="401" t="s">
        <v>1073</v>
      </c>
      <c r="Y663" s="401" t="s">
        <v>1073</v>
      </c>
      <c r="Z663" s="401" t="s">
        <v>1073</v>
      </c>
    </row>
    <row r="664" spans="1:26" ht="15">
      <c r="A664" s="129" t="s">
        <v>1073</v>
      </c>
      <c r="B664" s="167" t="s">
        <v>1073</v>
      </c>
      <c r="C664" s="129" t="s">
        <v>1073</v>
      </c>
      <c r="D664" s="129" t="s">
        <v>1073</v>
      </c>
      <c r="E664" s="129" t="s">
        <v>1073</v>
      </c>
      <c r="F664" s="129" t="s">
        <v>1073</v>
      </c>
      <c r="G664" s="129" t="s">
        <v>1073</v>
      </c>
      <c r="H664" s="129" t="s">
        <v>1073</v>
      </c>
      <c r="I664" s="401" t="s">
        <v>1073</v>
      </c>
      <c r="J664" s="401" t="s">
        <v>1073</v>
      </c>
      <c r="K664" s="401" t="s">
        <v>1073</v>
      </c>
      <c r="L664" s="401" t="s">
        <v>1073</v>
      </c>
      <c r="M664" s="401" t="s">
        <v>1073</v>
      </c>
      <c r="N664" s="129" t="s">
        <v>1073</v>
      </c>
      <c r="O664" s="129" t="s">
        <v>1073</v>
      </c>
      <c r="P664" s="401" t="s">
        <v>1073</v>
      </c>
      <c r="Q664" s="401" t="s">
        <v>1073</v>
      </c>
      <c r="R664" s="401" t="s">
        <v>1073</v>
      </c>
      <c r="S664" s="401" t="s">
        <v>1073</v>
      </c>
      <c r="T664" s="401" t="s">
        <v>1073</v>
      </c>
      <c r="U664" s="401" t="s">
        <v>1073</v>
      </c>
      <c r="V664" s="401" t="s">
        <v>1073</v>
      </c>
      <c r="W664" s="401" t="s">
        <v>1073</v>
      </c>
      <c r="X664" s="401" t="s">
        <v>1073</v>
      </c>
      <c r="Y664" s="401" t="s">
        <v>1073</v>
      </c>
      <c r="Z664" s="401" t="s">
        <v>1073</v>
      </c>
    </row>
    <row r="665" spans="1:26" ht="15">
      <c r="A665" s="129" t="s">
        <v>1073</v>
      </c>
      <c r="B665" s="167" t="s">
        <v>1073</v>
      </c>
      <c r="C665" s="129" t="s">
        <v>1073</v>
      </c>
      <c r="D665" s="129" t="s">
        <v>1073</v>
      </c>
      <c r="E665" s="129" t="s">
        <v>1073</v>
      </c>
      <c r="F665" s="129" t="s">
        <v>1073</v>
      </c>
      <c r="G665" s="129" t="s">
        <v>1073</v>
      </c>
      <c r="H665" s="129" t="s">
        <v>1073</v>
      </c>
      <c r="I665" s="401" t="s">
        <v>1073</v>
      </c>
      <c r="J665" s="401" t="s">
        <v>1073</v>
      </c>
      <c r="K665" s="401" t="s">
        <v>1073</v>
      </c>
      <c r="L665" s="401" t="s">
        <v>1073</v>
      </c>
      <c r="M665" s="401" t="s">
        <v>1073</v>
      </c>
      <c r="N665" s="129" t="s">
        <v>1073</v>
      </c>
      <c r="O665" s="129" t="s">
        <v>1073</v>
      </c>
      <c r="P665" s="401" t="s">
        <v>1073</v>
      </c>
      <c r="Q665" s="401" t="s">
        <v>1073</v>
      </c>
      <c r="R665" s="401" t="s">
        <v>1073</v>
      </c>
      <c r="S665" s="401" t="s">
        <v>1073</v>
      </c>
      <c r="T665" s="401" t="s">
        <v>1073</v>
      </c>
      <c r="U665" s="401" t="s">
        <v>1073</v>
      </c>
      <c r="V665" s="401" t="s">
        <v>1073</v>
      </c>
      <c r="W665" s="401" t="s">
        <v>1073</v>
      </c>
      <c r="X665" s="401" t="s">
        <v>1073</v>
      </c>
      <c r="Y665" s="401" t="s">
        <v>1073</v>
      </c>
      <c r="Z665" s="401" t="s">
        <v>1073</v>
      </c>
    </row>
    <row r="666" spans="1:26" ht="15">
      <c r="A666" s="129" t="s">
        <v>1073</v>
      </c>
      <c r="B666" s="167" t="s">
        <v>1073</v>
      </c>
      <c r="C666" s="129" t="s">
        <v>1073</v>
      </c>
      <c r="D666" s="129" t="s">
        <v>1073</v>
      </c>
      <c r="E666" s="129" t="s">
        <v>1073</v>
      </c>
      <c r="F666" s="129" t="s">
        <v>1073</v>
      </c>
      <c r="G666" s="129" t="s">
        <v>1073</v>
      </c>
      <c r="H666" s="129" t="s">
        <v>1073</v>
      </c>
      <c r="I666" s="401" t="s">
        <v>1073</v>
      </c>
      <c r="J666" s="401" t="s">
        <v>1073</v>
      </c>
      <c r="K666" s="401" t="s">
        <v>1073</v>
      </c>
      <c r="L666" s="401" t="s">
        <v>1073</v>
      </c>
      <c r="M666" s="401" t="s">
        <v>1073</v>
      </c>
      <c r="N666" s="129" t="s">
        <v>1073</v>
      </c>
      <c r="O666" s="129" t="s">
        <v>1073</v>
      </c>
      <c r="P666" s="401" t="s">
        <v>1073</v>
      </c>
      <c r="Q666" s="401" t="s">
        <v>1073</v>
      </c>
      <c r="R666" s="401" t="s">
        <v>1073</v>
      </c>
      <c r="S666" s="401" t="s">
        <v>1073</v>
      </c>
      <c r="T666" s="401" t="s">
        <v>1073</v>
      </c>
      <c r="U666" s="401" t="s">
        <v>1073</v>
      </c>
      <c r="V666" s="401" t="s">
        <v>1073</v>
      </c>
      <c r="W666" s="401" t="s">
        <v>1073</v>
      </c>
      <c r="X666" s="401" t="s">
        <v>1073</v>
      </c>
      <c r="Y666" s="401" t="s">
        <v>1073</v>
      </c>
      <c r="Z666" s="401" t="s">
        <v>1073</v>
      </c>
    </row>
    <row r="667" spans="1:2" ht="15">
      <c r="A667" s="129" t="s">
        <v>1073</v>
      </c>
      <c r="B667" s="167" t="s">
        <v>1073</v>
      </c>
    </row>
  </sheetData>
  <sheetProtection password="DFED" sheet="1"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DA667"/>
  <sheetViews>
    <sheetView zoomScale="70" zoomScaleNormal="70" zoomScalePageLayoutView="0" workbookViewId="0" topLeftCell="A1">
      <pane xSplit="1" ySplit="2" topLeftCell="BC7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C112" sqref="BC112"/>
    </sheetView>
  </sheetViews>
  <sheetFormatPr defaultColWidth="9.140625" defaultRowHeight="12.75"/>
  <cols>
    <col min="1" max="1" width="55.8515625" style="94" bestFit="1" customWidth="1"/>
    <col min="2" max="2" width="78.7109375" style="166" bestFit="1" customWidth="1"/>
    <col min="3" max="3" width="78.7109375" style="166" customWidth="1"/>
    <col min="4" max="4" width="78.7109375" style="94" bestFit="1" customWidth="1"/>
    <col min="5" max="8" width="66.28125" style="94" bestFit="1" customWidth="1"/>
    <col min="9" max="9" width="66.28125" style="94" customWidth="1"/>
    <col min="10" max="13" width="66.28125" style="94" bestFit="1" customWidth="1"/>
    <col min="14" max="26" width="66.28125" style="94" customWidth="1"/>
    <col min="27" max="27" width="66.28125" style="94" bestFit="1" customWidth="1"/>
    <col min="28" max="28" width="66.28125" style="94" customWidth="1"/>
    <col min="29" max="39" width="73.140625" style="94" customWidth="1"/>
    <col min="40" max="40" width="73.140625" style="94" bestFit="1" customWidth="1"/>
    <col min="41" max="86" width="73.140625" style="94" customWidth="1"/>
    <col min="87" max="87" width="19.28125" style="94" bestFit="1" customWidth="1"/>
    <col min="88" max="88" width="17.28125" style="94" bestFit="1" customWidth="1"/>
    <col min="89" max="89" width="19.28125" style="94" bestFit="1" customWidth="1"/>
    <col min="90" max="91" width="25.8515625" style="94" bestFit="1" customWidth="1"/>
    <col min="92" max="94" width="20.7109375" style="94" customWidth="1"/>
    <col min="95" max="95" width="10.7109375" style="94" customWidth="1"/>
    <col min="96" max="96" width="25.8515625" style="94" bestFit="1" customWidth="1"/>
    <col min="97" max="97" width="2.421875" style="94" bestFit="1" customWidth="1"/>
    <col min="98" max="98" width="10.7109375" style="94" bestFit="1" customWidth="1"/>
    <col min="99" max="99" width="20.7109375" style="94" customWidth="1"/>
    <col min="100" max="16384" width="9.140625" style="94" customWidth="1"/>
  </cols>
  <sheetData>
    <row r="1" spans="1:101" ht="15">
      <c r="A1" s="127" t="s">
        <v>1209</v>
      </c>
      <c r="B1" s="128">
        <f ca="1">IF(Configurator!$M$1="",TODAY(),Configurator!$M$1)</f>
        <v>41369</v>
      </c>
      <c r="C1" s="128"/>
      <c r="D1" s="129" t="s">
        <v>1073</v>
      </c>
      <c r="E1" s="129" t="s">
        <v>1073</v>
      </c>
      <c r="F1" s="129" t="s">
        <v>1073</v>
      </c>
      <c r="G1" s="129" t="s">
        <v>1073</v>
      </c>
      <c r="H1" s="129" t="s">
        <v>1073</v>
      </c>
      <c r="I1" s="129" t="s">
        <v>1073</v>
      </c>
      <c r="J1" s="129" t="s">
        <v>1073</v>
      </c>
      <c r="K1" s="129" t="s">
        <v>1073</v>
      </c>
      <c r="L1" s="129" t="s">
        <v>1073</v>
      </c>
      <c r="M1" s="129" t="s">
        <v>1073</v>
      </c>
      <c r="N1" s="129" t="s">
        <v>1073</v>
      </c>
      <c r="O1" s="129" t="s">
        <v>1073</v>
      </c>
      <c r="P1" s="129" t="s">
        <v>1073</v>
      </c>
      <c r="Q1" s="129" t="s">
        <v>1073</v>
      </c>
      <c r="R1" s="129" t="s">
        <v>1073</v>
      </c>
      <c r="S1" s="129" t="s">
        <v>1073</v>
      </c>
      <c r="T1" s="129" t="s">
        <v>1073</v>
      </c>
      <c r="U1" s="129" t="s">
        <v>1073</v>
      </c>
      <c r="V1" s="129" t="s">
        <v>1073</v>
      </c>
      <c r="W1" s="129" t="s">
        <v>1073</v>
      </c>
      <c r="X1" s="129" t="s">
        <v>1073</v>
      </c>
      <c r="Y1" s="129" t="s">
        <v>1073</v>
      </c>
      <c r="Z1" s="129" t="s">
        <v>1073</v>
      </c>
      <c r="AA1" s="129" t="s">
        <v>1073</v>
      </c>
      <c r="AB1" s="129" t="s">
        <v>1073</v>
      </c>
      <c r="AC1" s="129" t="s">
        <v>1073</v>
      </c>
      <c r="AD1" s="129" t="s">
        <v>1073</v>
      </c>
      <c r="AE1" s="129" t="s">
        <v>1073</v>
      </c>
      <c r="AF1" s="129" t="s">
        <v>1073</v>
      </c>
      <c r="AG1" s="129" t="s">
        <v>1073</v>
      </c>
      <c r="AH1" s="129" t="s">
        <v>1073</v>
      </c>
      <c r="AI1" s="129" t="s">
        <v>1073</v>
      </c>
      <c r="AJ1" s="129" t="s">
        <v>1073</v>
      </c>
      <c r="AK1" s="129" t="s">
        <v>1073</v>
      </c>
      <c r="AL1" s="129" t="s">
        <v>1073</v>
      </c>
      <c r="AM1" s="129" t="s">
        <v>1073</v>
      </c>
      <c r="AN1" s="129" t="s">
        <v>1073</v>
      </c>
      <c r="AO1" s="129" t="s">
        <v>1073</v>
      </c>
      <c r="AP1" s="129" t="s">
        <v>1073</v>
      </c>
      <c r="AQ1" s="129" t="s">
        <v>1073</v>
      </c>
      <c r="AR1" s="129" t="s">
        <v>1073</v>
      </c>
      <c r="AS1" s="129" t="s">
        <v>1073</v>
      </c>
      <c r="AT1" s="129" t="s">
        <v>1073</v>
      </c>
      <c r="AU1" s="129" t="s">
        <v>1073</v>
      </c>
      <c r="AV1" s="129" t="s">
        <v>1073</v>
      </c>
      <c r="AW1" s="129" t="s">
        <v>1073</v>
      </c>
      <c r="AX1" s="129" t="s">
        <v>1073</v>
      </c>
      <c r="AY1" s="129" t="s">
        <v>1073</v>
      </c>
      <c r="AZ1" s="129" t="s">
        <v>1073</v>
      </c>
      <c r="BA1" s="129" t="s">
        <v>1073</v>
      </c>
      <c r="BB1" s="129" t="s">
        <v>1073</v>
      </c>
      <c r="BC1" s="129" t="s">
        <v>1073</v>
      </c>
      <c r="BD1" s="129" t="s">
        <v>1073</v>
      </c>
      <c r="BE1" s="129" t="s">
        <v>1073</v>
      </c>
      <c r="BF1" s="129" t="s">
        <v>1073</v>
      </c>
      <c r="BG1" s="129" t="s">
        <v>1073</v>
      </c>
      <c r="BH1" s="129" t="s">
        <v>1073</v>
      </c>
      <c r="BI1" s="129" t="s">
        <v>1073</v>
      </c>
      <c r="BJ1" s="129" t="s">
        <v>1073</v>
      </c>
      <c r="BK1" s="129" t="s">
        <v>1073</v>
      </c>
      <c r="BL1" s="129" t="s">
        <v>1073</v>
      </c>
      <c r="BM1" s="129" t="s">
        <v>1073</v>
      </c>
      <c r="BN1" s="129" t="s">
        <v>1073</v>
      </c>
      <c r="BO1" s="129" t="s">
        <v>1073</v>
      </c>
      <c r="BP1" s="129" t="s">
        <v>1073</v>
      </c>
      <c r="BQ1" s="129" t="s">
        <v>1073</v>
      </c>
      <c r="BR1" s="129" t="s">
        <v>1073</v>
      </c>
      <c r="BS1" s="129" t="s">
        <v>1073</v>
      </c>
      <c r="BT1" s="129" t="s">
        <v>1073</v>
      </c>
      <c r="BU1" s="129" t="s">
        <v>1073</v>
      </c>
      <c r="BV1" s="129" t="s">
        <v>1073</v>
      </c>
      <c r="BW1" s="129" t="s">
        <v>1073</v>
      </c>
      <c r="BX1" s="129" t="s">
        <v>1073</v>
      </c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 t="s">
        <v>1073</v>
      </c>
      <c r="CJ1" s="129" t="s">
        <v>1073</v>
      </c>
      <c r="CK1" s="129" t="s">
        <v>1073</v>
      </c>
      <c r="CL1" s="129" t="s">
        <v>1073</v>
      </c>
      <c r="CM1" s="129" t="s">
        <v>1073</v>
      </c>
      <c r="CN1" s="129" t="s">
        <v>1073</v>
      </c>
      <c r="CO1" s="129" t="s">
        <v>1073</v>
      </c>
      <c r="CP1" s="129" t="s">
        <v>1073</v>
      </c>
      <c r="CQ1" s="129" t="s">
        <v>1073</v>
      </c>
      <c r="CR1" s="129" t="s">
        <v>1073</v>
      </c>
      <c r="CS1" s="129" t="s">
        <v>1073</v>
      </c>
      <c r="CT1" s="129" t="s">
        <v>1073</v>
      </c>
      <c r="CU1" s="129" t="s">
        <v>1073</v>
      </c>
      <c r="CV1" s="129" t="s">
        <v>1073</v>
      </c>
      <c r="CW1" s="129" t="s">
        <v>1073</v>
      </c>
    </row>
    <row r="2" spans="2:105" ht="14.25">
      <c r="B2" s="131">
        <v>37306</v>
      </c>
      <c r="C2" s="131">
        <v>37307</v>
      </c>
      <c r="D2" s="132">
        <v>37382</v>
      </c>
      <c r="E2" s="132">
        <v>37390</v>
      </c>
      <c r="F2" s="132">
        <v>37400</v>
      </c>
      <c r="G2" s="132">
        <v>37480</v>
      </c>
      <c r="H2" s="132">
        <v>37487</v>
      </c>
      <c r="I2" s="132">
        <v>37492</v>
      </c>
      <c r="J2" s="132">
        <v>37509</v>
      </c>
      <c r="K2" s="132">
        <v>37510</v>
      </c>
      <c r="L2" s="132">
        <v>37586</v>
      </c>
      <c r="M2" s="132">
        <v>37641</v>
      </c>
      <c r="N2" s="132">
        <v>37725</v>
      </c>
      <c r="O2" s="132">
        <v>37727</v>
      </c>
      <c r="P2" s="132">
        <v>37743</v>
      </c>
      <c r="Q2" s="132">
        <v>37970</v>
      </c>
      <c r="R2" s="132">
        <v>37994</v>
      </c>
      <c r="S2" s="132">
        <v>38005</v>
      </c>
      <c r="T2" s="132">
        <v>38006</v>
      </c>
      <c r="U2" s="132">
        <v>38008</v>
      </c>
      <c r="V2" s="132">
        <v>38009</v>
      </c>
      <c r="W2" s="132">
        <v>38063</v>
      </c>
      <c r="X2" s="132">
        <v>38154</v>
      </c>
      <c r="Y2" s="132">
        <v>38187</v>
      </c>
      <c r="Z2" s="132">
        <v>38188</v>
      </c>
      <c r="AA2" s="132">
        <v>38264</v>
      </c>
      <c r="AB2" s="132">
        <v>38265</v>
      </c>
      <c r="AC2" s="172">
        <v>38292</v>
      </c>
      <c r="AD2" s="172">
        <v>38300</v>
      </c>
      <c r="AE2" s="172">
        <v>38404</v>
      </c>
      <c r="AF2" s="172">
        <v>38462</v>
      </c>
      <c r="AG2" s="172">
        <v>38503</v>
      </c>
      <c r="AH2" s="172">
        <v>38504</v>
      </c>
      <c r="AI2" s="172">
        <v>38563</v>
      </c>
      <c r="AJ2" s="172">
        <v>38597</v>
      </c>
      <c r="AK2" s="172">
        <v>38631</v>
      </c>
      <c r="AL2" s="172">
        <v>38665</v>
      </c>
      <c r="AM2" s="172">
        <v>38666</v>
      </c>
      <c r="AN2" s="172">
        <v>38742</v>
      </c>
      <c r="AO2" s="172">
        <v>38801</v>
      </c>
      <c r="AP2" s="172">
        <v>38887</v>
      </c>
      <c r="AQ2" s="172">
        <v>39006</v>
      </c>
      <c r="AR2" s="172">
        <v>39105</v>
      </c>
      <c r="AS2" s="172">
        <v>39120</v>
      </c>
      <c r="AT2" s="172">
        <v>39121</v>
      </c>
      <c r="AU2" s="172">
        <v>39294</v>
      </c>
      <c r="AV2" s="172">
        <v>39295</v>
      </c>
      <c r="AW2" s="172">
        <v>39405</v>
      </c>
      <c r="AX2" s="172">
        <v>39493</v>
      </c>
      <c r="AY2" s="172">
        <v>39496</v>
      </c>
      <c r="AZ2" s="172">
        <v>39604</v>
      </c>
      <c r="BA2" s="172">
        <v>39605</v>
      </c>
      <c r="BB2" s="172">
        <v>39659</v>
      </c>
      <c r="BC2" s="172">
        <v>39729</v>
      </c>
      <c r="BD2" s="172">
        <v>39847</v>
      </c>
      <c r="BE2" s="172">
        <v>39848</v>
      </c>
      <c r="BF2" s="172">
        <v>39926</v>
      </c>
      <c r="BG2" s="172">
        <v>39927</v>
      </c>
      <c r="BH2" s="172">
        <v>39971</v>
      </c>
      <c r="BI2" s="172">
        <v>40007</v>
      </c>
      <c r="BJ2" s="172">
        <v>40008</v>
      </c>
      <c r="BK2" s="172">
        <v>40009</v>
      </c>
      <c r="BL2" s="172">
        <v>40102</v>
      </c>
      <c r="BM2" s="172">
        <v>40217</v>
      </c>
      <c r="BN2" s="172">
        <v>40253</v>
      </c>
      <c r="BO2" s="172">
        <v>40254</v>
      </c>
      <c r="BP2" s="172">
        <v>40299</v>
      </c>
      <c r="BQ2" s="172">
        <v>40311</v>
      </c>
      <c r="BR2" s="172">
        <v>40421</v>
      </c>
      <c r="BS2" s="172">
        <v>40422</v>
      </c>
      <c r="BT2" s="172">
        <v>40435</v>
      </c>
      <c r="BU2" s="172">
        <v>40438</v>
      </c>
      <c r="BV2" s="172">
        <v>40439</v>
      </c>
      <c r="BW2" s="172">
        <v>40609</v>
      </c>
      <c r="BX2" s="172">
        <v>40610</v>
      </c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129" t="s">
        <v>1073</v>
      </c>
      <c r="CJ2" s="129" t="s">
        <v>1073</v>
      </c>
      <c r="CK2" s="129" t="s">
        <v>1073</v>
      </c>
      <c r="CL2" s="129" t="s">
        <v>1073</v>
      </c>
      <c r="CM2" s="129" t="s">
        <v>1073</v>
      </c>
      <c r="CN2" s="129" t="s">
        <v>1073</v>
      </c>
      <c r="CO2" s="129" t="s">
        <v>1073</v>
      </c>
      <c r="CP2" s="129" t="s">
        <v>1073</v>
      </c>
      <c r="CQ2" s="129" t="s">
        <v>1073</v>
      </c>
      <c r="CR2" s="129" t="s">
        <v>1073</v>
      </c>
      <c r="CS2" s="129" t="s">
        <v>1073</v>
      </c>
      <c r="CT2" s="129" t="s">
        <v>1073</v>
      </c>
      <c r="CU2" s="129" t="s">
        <v>1073</v>
      </c>
      <c r="CV2" s="129" t="s">
        <v>1073</v>
      </c>
      <c r="CW2" s="129" t="s">
        <v>1073</v>
      </c>
      <c r="CX2" s="129" t="s">
        <v>1073</v>
      </c>
      <c r="CY2" s="129" t="s">
        <v>1073</v>
      </c>
      <c r="CZ2" s="129" t="s">
        <v>1073</v>
      </c>
      <c r="DA2" s="129" t="s">
        <v>1073</v>
      </c>
    </row>
    <row r="3" spans="1:105" ht="15">
      <c r="A3" s="130" t="s">
        <v>457</v>
      </c>
      <c r="B3" s="134" t="s">
        <v>1079</v>
      </c>
      <c r="C3" s="134" t="s">
        <v>1079</v>
      </c>
      <c r="D3" s="134" t="s">
        <v>1079</v>
      </c>
      <c r="E3" s="134" t="s">
        <v>1079</v>
      </c>
      <c r="F3" s="134" t="s">
        <v>1079</v>
      </c>
      <c r="G3" s="134" t="s">
        <v>1079</v>
      </c>
      <c r="H3" s="134" t="s">
        <v>1079</v>
      </c>
      <c r="I3" s="134" t="s">
        <v>1079</v>
      </c>
      <c r="J3" s="134" t="s">
        <v>1079</v>
      </c>
      <c r="K3" s="134" t="s">
        <v>1079</v>
      </c>
      <c r="L3" s="134" t="s">
        <v>1079</v>
      </c>
      <c r="M3" s="134" t="s">
        <v>1079</v>
      </c>
      <c r="N3" s="134" t="s">
        <v>1079</v>
      </c>
      <c r="O3" s="134" t="s">
        <v>1079</v>
      </c>
      <c r="P3" s="134" t="s">
        <v>1079</v>
      </c>
      <c r="Q3" s="134" t="s">
        <v>1079</v>
      </c>
      <c r="R3" s="134" t="s">
        <v>1079</v>
      </c>
      <c r="S3" s="134" t="s">
        <v>1079</v>
      </c>
      <c r="T3" s="134" t="s">
        <v>1079</v>
      </c>
      <c r="U3" s="134" t="s">
        <v>1079</v>
      </c>
      <c r="V3" s="134" t="s">
        <v>1079</v>
      </c>
      <c r="W3" s="134" t="s">
        <v>1079</v>
      </c>
      <c r="X3" s="134" t="s">
        <v>1079</v>
      </c>
      <c r="Y3" s="134" t="s">
        <v>1079</v>
      </c>
      <c r="Z3" s="134" t="s">
        <v>1079</v>
      </c>
      <c r="AA3" s="134" t="s">
        <v>1079</v>
      </c>
      <c r="AB3" s="134" t="s">
        <v>1079</v>
      </c>
      <c r="AC3" s="134" t="s">
        <v>1079</v>
      </c>
      <c r="AD3" s="134" t="s">
        <v>1079</v>
      </c>
      <c r="AE3" s="134" t="s">
        <v>1079</v>
      </c>
      <c r="AF3" s="134" t="s">
        <v>1079</v>
      </c>
      <c r="AG3" s="134" t="s">
        <v>1079</v>
      </c>
      <c r="AH3" s="134" t="s">
        <v>1079</v>
      </c>
      <c r="AI3" s="134" t="s">
        <v>1079</v>
      </c>
      <c r="AJ3" s="134" t="s">
        <v>1079</v>
      </c>
      <c r="AK3" s="134" t="s">
        <v>1079</v>
      </c>
      <c r="AL3" s="134" t="s">
        <v>1079</v>
      </c>
      <c r="AM3" s="134" t="s">
        <v>1079</v>
      </c>
      <c r="AN3" s="134" t="s">
        <v>1079</v>
      </c>
      <c r="AO3" s="134" t="s">
        <v>1079</v>
      </c>
      <c r="AP3" s="134" t="s">
        <v>1079</v>
      </c>
      <c r="AQ3" s="134" t="s">
        <v>1079</v>
      </c>
      <c r="AR3" s="134" t="s">
        <v>1079</v>
      </c>
      <c r="AS3" s="134" t="s">
        <v>1079</v>
      </c>
      <c r="AT3" s="134" t="s">
        <v>1079</v>
      </c>
      <c r="AU3" s="134" t="s">
        <v>1079</v>
      </c>
      <c r="AV3" s="134" t="s">
        <v>1079</v>
      </c>
      <c r="AW3" s="134" t="s">
        <v>1079</v>
      </c>
      <c r="AX3" s="134" t="s">
        <v>1079</v>
      </c>
      <c r="AY3" s="134" t="s">
        <v>1079</v>
      </c>
      <c r="AZ3" s="134" t="s">
        <v>1079</v>
      </c>
      <c r="BA3" s="134" t="s">
        <v>1079</v>
      </c>
      <c r="BB3" s="134" t="s">
        <v>1079</v>
      </c>
      <c r="BC3" s="134" t="s">
        <v>1079</v>
      </c>
      <c r="BD3" s="134" t="s">
        <v>1079</v>
      </c>
      <c r="BE3" s="134" t="s">
        <v>1079</v>
      </c>
      <c r="BF3" s="134" t="s">
        <v>1079</v>
      </c>
      <c r="BG3" s="134" t="s">
        <v>1079</v>
      </c>
      <c r="BH3" s="134" t="s">
        <v>1079</v>
      </c>
      <c r="BI3" s="134" t="s">
        <v>1079</v>
      </c>
      <c r="BJ3" s="134" t="s">
        <v>1079</v>
      </c>
      <c r="BK3" s="134" t="s">
        <v>1079</v>
      </c>
      <c r="BL3" s="134" t="s">
        <v>1079</v>
      </c>
      <c r="BM3" s="134" t="s">
        <v>1079</v>
      </c>
      <c r="BN3" s="134" t="s">
        <v>1079</v>
      </c>
      <c r="BO3" s="134" t="s">
        <v>1079</v>
      </c>
      <c r="BP3" s="134" t="s">
        <v>1079</v>
      </c>
      <c r="BQ3" s="134" t="s">
        <v>1079</v>
      </c>
      <c r="BR3" s="134" t="s">
        <v>1079</v>
      </c>
      <c r="BS3" s="134" t="s">
        <v>1079</v>
      </c>
      <c r="BT3" s="134" t="s">
        <v>1079</v>
      </c>
      <c r="BU3" s="134" t="s">
        <v>1079</v>
      </c>
      <c r="BV3" s="134" t="s">
        <v>1079</v>
      </c>
      <c r="BW3" s="134" t="s">
        <v>1079</v>
      </c>
      <c r="BX3" s="134" t="s">
        <v>1079</v>
      </c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29" t="s">
        <v>1073</v>
      </c>
      <c r="CJ3" s="129" t="s">
        <v>1073</v>
      </c>
      <c r="CK3" s="129" t="s">
        <v>1073</v>
      </c>
      <c r="CL3" s="129" t="s">
        <v>1073</v>
      </c>
      <c r="CM3" s="129" t="s">
        <v>1073</v>
      </c>
      <c r="CN3" s="129" t="s">
        <v>1073</v>
      </c>
      <c r="CO3" s="129" t="s">
        <v>1073</v>
      </c>
      <c r="CP3" s="129" t="s">
        <v>1073</v>
      </c>
      <c r="CQ3" s="129" t="s">
        <v>1073</v>
      </c>
      <c r="CR3" s="129" t="s">
        <v>1073</v>
      </c>
      <c r="CS3" s="129" t="s">
        <v>1073</v>
      </c>
      <c r="CT3" s="129" t="s">
        <v>1073</v>
      </c>
      <c r="CU3" s="129" t="s">
        <v>1073</v>
      </c>
      <c r="CV3" s="129" t="s">
        <v>1073</v>
      </c>
      <c r="CW3" s="129" t="s">
        <v>1073</v>
      </c>
      <c r="CX3" s="129" t="s">
        <v>1073</v>
      </c>
      <c r="CY3" s="129" t="s">
        <v>1073</v>
      </c>
      <c r="CZ3" s="129" t="s">
        <v>1073</v>
      </c>
      <c r="DA3" s="129" t="s">
        <v>1073</v>
      </c>
    </row>
    <row r="4" spans="1:105" ht="14.25">
      <c r="A4" s="133" t="s">
        <v>1073</v>
      </c>
      <c r="B4" s="136" t="s">
        <v>1073</v>
      </c>
      <c r="C4" s="134" t="s">
        <v>1239</v>
      </c>
      <c r="D4" s="134" t="s">
        <v>1239</v>
      </c>
      <c r="E4" s="134" t="s">
        <v>1239</v>
      </c>
      <c r="F4" s="134" t="s">
        <v>1239</v>
      </c>
      <c r="G4" s="134" t="s">
        <v>1239</v>
      </c>
      <c r="H4" s="134" t="s">
        <v>1239</v>
      </c>
      <c r="I4" s="134" t="s">
        <v>1239</v>
      </c>
      <c r="J4" s="134" t="s">
        <v>1239</v>
      </c>
      <c r="K4" s="134" t="s">
        <v>1239</v>
      </c>
      <c r="L4" s="134" t="s">
        <v>1239</v>
      </c>
      <c r="M4" s="134" t="s">
        <v>1239</v>
      </c>
      <c r="N4" s="134" t="s">
        <v>1239</v>
      </c>
      <c r="O4" s="134" t="s">
        <v>1239</v>
      </c>
      <c r="P4" s="134" t="s">
        <v>1239</v>
      </c>
      <c r="Q4" s="134" t="s">
        <v>1239</v>
      </c>
      <c r="R4" s="134" t="s">
        <v>1239</v>
      </c>
      <c r="S4" s="134" t="s">
        <v>1239</v>
      </c>
      <c r="T4" s="134" t="s">
        <v>1239</v>
      </c>
      <c r="U4" s="134" t="s">
        <v>1239</v>
      </c>
      <c r="V4" s="134" t="s">
        <v>1239</v>
      </c>
      <c r="W4" s="134" t="s">
        <v>1239</v>
      </c>
      <c r="X4" s="134" t="s">
        <v>1239</v>
      </c>
      <c r="Y4" s="134" t="s">
        <v>1239</v>
      </c>
      <c r="Z4" s="134" t="s">
        <v>1239</v>
      </c>
      <c r="AA4" s="134" t="s">
        <v>456</v>
      </c>
      <c r="AB4" s="134" t="s">
        <v>456</v>
      </c>
      <c r="AC4" s="134" t="s">
        <v>456</v>
      </c>
      <c r="AD4" s="134" t="s">
        <v>456</v>
      </c>
      <c r="AE4" s="134" t="s">
        <v>456</v>
      </c>
      <c r="AF4" s="134" t="s">
        <v>456</v>
      </c>
      <c r="AG4" s="134" t="s">
        <v>456</v>
      </c>
      <c r="AH4" s="134" t="s">
        <v>456</v>
      </c>
      <c r="AI4" s="134" t="s">
        <v>456</v>
      </c>
      <c r="AJ4" s="134" t="s">
        <v>456</v>
      </c>
      <c r="AK4" s="134" t="s">
        <v>456</v>
      </c>
      <c r="AL4" s="134" t="s">
        <v>456</v>
      </c>
      <c r="AM4" s="134" t="s">
        <v>456</v>
      </c>
      <c r="AN4" s="134" t="s">
        <v>456</v>
      </c>
      <c r="AO4" s="134" t="s">
        <v>456</v>
      </c>
      <c r="AP4" s="134" t="s">
        <v>456</v>
      </c>
      <c r="AQ4" s="134" t="s">
        <v>456</v>
      </c>
      <c r="AR4" s="134" t="s">
        <v>456</v>
      </c>
      <c r="AS4" s="134" t="s">
        <v>456</v>
      </c>
      <c r="AT4" s="134" t="s">
        <v>456</v>
      </c>
      <c r="AU4" s="134" t="s">
        <v>456</v>
      </c>
      <c r="AV4" s="134" t="s">
        <v>456</v>
      </c>
      <c r="AW4" s="134" t="s">
        <v>456</v>
      </c>
      <c r="AX4" s="134" t="s">
        <v>456</v>
      </c>
      <c r="AY4" s="134" t="s">
        <v>456</v>
      </c>
      <c r="AZ4" s="134" t="s">
        <v>456</v>
      </c>
      <c r="BA4" s="134" t="s">
        <v>456</v>
      </c>
      <c r="BB4" s="134" t="s">
        <v>456</v>
      </c>
      <c r="BC4" s="134" t="s">
        <v>456</v>
      </c>
      <c r="BD4" s="134" t="s">
        <v>456</v>
      </c>
      <c r="BE4" s="134" t="s">
        <v>456</v>
      </c>
      <c r="BF4" s="134" t="s">
        <v>456</v>
      </c>
      <c r="BG4" s="134" t="s">
        <v>1087</v>
      </c>
      <c r="BH4" s="134" t="s">
        <v>456</v>
      </c>
      <c r="BI4" s="134" t="s">
        <v>456</v>
      </c>
      <c r="BJ4" s="134" t="s">
        <v>456</v>
      </c>
      <c r="BK4" s="134" t="s">
        <v>1087</v>
      </c>
      <c r="BL4" s="134" t="s">
        <v>1087</v>
      </c>
      <c r="BM4" s="134" t="s">
        <v>1087</v>
      </c>
      <c r="BN4" s="134" t="s">
        <v>1087</v>
      </c>
      <c r="BO4" s="134" t="s">
        <v>1087</v>
      </c>
      <c r="BP4" s="134" t="s">
        <v>456</v>
      </c>
      <c r="BQ4" s="134" t="s">
        <v>1087</v>
      </c>
      <c r="BR4" s="134" t="s">
        <v>1087</v>
      </c>
      <c r="BS4" s="134" t="s">
        <v>1087</v>
      </c>
      <c r="BT4" s="134" t="s">
        <v>1087</v>
      </c>
      <c r="BU4" s="134" t="s">
        <v>456</v>
      </c>
      <c r="BV4" s="134" t="s">
        <v>1087</v>
      </c>
      <c r="BW4" s="134" t="s">
        <v>1087</v>
      </c>
      <c r="BX4" s="134" t="s">
        <v>1087</v>
      </c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29" t="s">
        <v>1073</v>
      </c>
      <c r="CJ4" s="129" t="s">
        <v>1073</v>
      </c>
      <c r="CK4" s="129" t="s">
        <v>1073</v>
      </c>
      <c r="CL4" s="129" t="s">
        <v>1073</v>
      </c>
      <c r="CM4" s="129" t="s">
        <v>1073</v>
      </c>
      <c r="CN4" s="129" t="s">
        <v>1073</v>
      </c>
      <c r="CO4" s="129" t="s">
        <v>1073</v>
      </c>
      <c r="CP4" s="129" t="s">
        <v>1073</v>
      </c>
      <c r="CQ4" s="129" t="s">
        <v>1073</v>
      </c>
      <c r="CR4" s="129" t="s">
        <v>1073</v>
      </c>
      <c r="CS4" s="129" t="s">
        <v>1073</v>
      </c>
      <c r="CT4" s="129" t="s">
        <v>1073</v>
      </c>
      <c r="CU4" s="129" t="s">
        <v>1073</v>
      </c>
      <c r="CV4" s="129" t="s">
        <v>1073</v>
      </c>
      <c r="CW4" s="129" t="s">
        <v>1073</v>
      </c>
      <c r="CX4" s="129" t="s">
        <v>1073</v>
      </c>
      <c r="CY4" s="129" t="s">
        <v>1073</v>
      </c>
      <c r="CZ4" s="129" t="s">
        <v>1073</v>
      </c>
      <c r="DA4" s="129" t="s">
        <v>1073</v>
      </c>
    </row>
    <row r="5" spans="1:105" ht="14.25">
      <c r="A5" s="133" t="s">
        <v>1073</v>
      </c>
      <c r="B5" s="136" t="s">
        <v>1073</v>
      </c>
      <c r="C5" s="134" t="s">
        <v>1218</v>
      </c>
      <c r="D5" s="134" t="s">
        <v>1218</v>
      </c>
      <c r="E5" s="134" t="s">
        <v>1218</v>
      </c>
      <c r="F5" s="134" t="s">
        <v>1218</v>
      </c>
      <c r="G5" s="134" t="s">
        <v>1218</v>
      </c>
      <c r="H5" s="134" t="s">
        <v>1218</v>
      </c>
      <c r="I5" s="134" t="s">
        <v>1218</v>
      </c>
      <c r="J5" s="134" t="s">
        <v>1218</v>
      </c>
      <c r="K5" s="134" t="s">
        <v>1218</v>
      </c>
      <c r="L5" s="134" t="s">
        <v>1218</v>
      </c>
      <c r="M5" s="134" t="s">
        <v>1218</v>
      </c>
      <c r="N5" s="134" t="s">
        <v>1218</v>
      </c>
      <c r="O5" s="134" t="s">
        <v>1218</v>
      </c>
      <c r="P5" s="134" t="s">
        <v>1218</v>
      </c>
      <c r="Q5" s="134" t="s">
        <v>1218</v>
      </c>
      <c r="R5" s="134" t="s">
        <v>1218</v>
      </c>
      <c r="S5" s="134" t="s">
        <v>1218</v>
      </c>
      <c r="T5" s="134" t="s">
        <v>1218</v>
      </c>
      <c r="U5" s="134" t="s">
        <v>1218</v>
      </c>
      <c r="V5" s="134" t="s">
        <v>1218</v>
      </c>
      <c r="W5" s="134" t="s">
        <v>1218</v>
      </c>
      <c r="X5" s="134" t="s">
        <v>1218</v>
      </c>
      <c r="Y5" s="134" t="s">
        <v>1218</v>
      </c>
      <c r="Z5" s="134" t="s">
        <v>1218</v>
      </c>
      <c r="AA5" s="134" t="s">
        <v>1218</v>
      </c>
      <c r="AB5" s="134" t="s">
        <v>1218</v>
      </c>
      <c r="AC5" s="134" t="s">
        <v>1218</v>
      </c>
      <c r="AD5" s="134" t="s">
        <v>1218</v>
      </c>
      <c r="AE5" s="134" t="s">
        <v>1218</v>
      </c>
      <c r="AF5" s="134" t="s">
        <v>1218</v>
      </c>
      <c r="AG5" s="134" t="s">
        <v>1218</v>
      </c>
      <c r="AH5" s="134" t="s">
        <v>1218</v>
      </c>
      <c r="AI5" s="134" t="s">
        <v>1218</v>
      </c>
      <c r="AJ5" s="134" t="s">
        <v>1218</v>
      </c>
      <c r="AK5" s="134" t="s">
        <v>1218</v>
      </c>
      <c r="AL5" s="134" t="s">
        <v>1218</v>
      </c>
      <c r="AM5" s="134" t="s">
        <v>1218</v>
      </c>
      <c r="AN5" s="134" t="s">
        <v>1218</v>
      </c>
      <c r="AO5" s="134" t="s">
        <v>1218</v>
      </c>
      <c r="AP5" s="134" t="s">
        <v>1218</v>
      </c>
      <c r="AQ5" s="134" t="s">
        <v>1218</v>
      </c>
      <c r="AR5" s="134" t="s">
        <v>1218</v>
      </c>
      <c r="AS5" s="134" t="s">
        <v>1218</v>
      </c>
      <c r="AT5" s="134" t="s">
        <v>1218</v>
      </c>
      <c r="AU5" s="134" t="s">
        <v>1218</v>
      </c>
      <c r="AV5" s="134" t="s">
        <v>1218</v>
      </c>
      <c r="AW5" s="134" t="s">
        <v>1218</v>
      </c>
      <c r="AX5" s="134" t="s">
        <v>1218</v>
      </c>
      <c r="AY5" s="134" t="s">
        <v>1218</v>
      </c>
      <c r="AZ5" s="134" t="s">
        <v>1218</v>
      </c>
      <c r="BA5" s="134" t="s">
        <v>1218</v>
      </c>
      <c r="BB5" s="134" t="s">
        <v>1218</v>
      </c>
      <c r="BC5" s="134" t="s">
        <v>1218</v>
      </c>
      <c r="BD5" s="134" t="s">
        <v>1218</v>
      </c>
      <c r="BE5" s="134" t="s">
        <v>1218</v>
      </c>
      <c r="BF5" s="134" t="s">
        <v>1218</v>
      </c>
      <c r="BG5" s="134" t="s">
        <v>1218</v>
      </c>
      <c r="BH5" s="134" t="s">
        <v>1218</v>
      </c>
      <c r="BI5" s="134" t="s">
        <v>1218</v>
      </c>
      <c r="BJ5" s="134" t="s">
        <v>1218</v>
      </c>
      <c r="BK5" s="134" t="s">
        <v>1218</v>
      </c>
      <c r="BL5" s="134" t="s">
        <v>1218</v>
      </c>
      <c r="BM5" s="134" t="s">
        <v>1218</v>
      </c>
      <c r="BN5" s="134" t="s">
        <v>1218</v>
      </c>
      <c r="BO5" s="134" t="s">
        <v>1218</v>
      </c>
      <c r="BP5" s="134" t="s">
        <v>1218</v>
      </c>
      <c r="BQ5" s="134" t="s">
        <v>1218</v>
      </c>
      <c r="BR5" s="134" t="s">
        <v>1218</v>
      </c>
      <c r="BS5" s="134" t="s">
        <v>1218</v>
      </c>
      <c r="BT5" s="134" t="s">
        <v>1218</v>
      </c>
      <c r="BU5" s="134" t="s">
        <v>1218</v>
      </c>
      <c r="BV5" s="134" t="s">
        <v>1218</v>
      </c>
      <c r="BW5" s="134" t="s">
        <v>1218</v>
      </c>
      <c r="BX5" s="134" t="s">
        <v>1218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29" t="s">
        <v>1073</v>
      </c>
      <c r="CJ5" s="129" t="s">
        <v>1073</v>
      </c>
      <c r="CK5" s="129" t="s">
        <v>1073</v>
      </c>
      <c r="CL5" s="129" t="s">
        <v>1073</v>
      </c>
      <c r="CM5" s="129" t="s">
        <v>1073</v>
      </c>
      <c r="CN5" s="129" t="s">
        <v>1073</v>
      </c>
      <c r="CO5" s="129" t="s">
        <v>1073</v>
      </c>
      <c r="CP5" s="129" t="s">
        <v>1073</v>
      </c>
      <c r="CQ5" s="129" t="s">
        <v>1073</v>
      </c>
      <c r="CR5" s="129" t="s">
        <v>1073</v>
      </c>
      <c r="CS5" s="129" t="s">
        <v>1073</v>
      </c>
      <c r="CT5" s="129" t="s">
        <v>1073</v>
      </c>
      <c r="CU5" s="129" t="s">
        <v>1073</v>
      </c>
      <c r="CV5" s="129" t="s">
        <v>1073</v>
      </c>
      <c r="CW5" s="129" t="s">
        <v>1073</v>
      </c>
      <c r="CX5" s="129" t="s">
        <v>1073</v>
      </c>
      <c r="CY5" s="129" t="s">
        <v>1073</v>
      </c>
      <c r="CZ5" s="129" t="s">
        <v>1073</v>
      </c>
      <c r="DA5" s="129" t="s">
        <v>1073</v>
      </c>
    </row>
    <row r="6" spans="1:105" ht="15">
      <c r="A6" s="135" t="s">
        <v>458</v>
      </c>
      <c r="B6" s="136" t="s">
        <v>1073</v>
      </c>
      <c r="C6" s="136" t="s">
        <v>1073</v>
      </c>
      <c r="D6" s="136" t="s">
        <v>1073</v>
      </c>
      <c r="E6" s="136" t="s">
        <v>1073</v>
      </c>
      <c r="F6" s="136" t="s">
        <v>1073</v>
      </c>
      <c r="G6" s="136" t="s">
        <v>1073</v>
      </c>
      <c r="H6" s="136" t="s">
        <v>1073</v>
      </c>
      <c r="I6" s="136" t="s">
        <v>1073</v>
      </c>
      <c r="J6" s="136" t="s">
        <v>1073</v>
      </c>
      <c r="K6" s="136" t="s">
        <v>1073</v>
      </c>
      <c r="L6" s="136" t="s">
        <v>1073</v>
      </c>
      <c r="M6" s="136" t="s">
        <v>1073</v>
      </c>
      <c r="N6" s="136" t="s">
        <v>1073</v>
      </c>
      <c r="O6" s="136" t="s">
        <v>1073</v>
      </c>
      <c r="P6" s="136" t="s">
        <v>1073</v>
      </c>
      <c r="Q6" s="136" t="s">
        <v>1073</v>
      </c>
      <c r="R6" s="136" t="s">
        <v>1073</v>
      </c>
      <c r="S6" s="136" t="s">
        <v>1073</v>
      </c>
      <c r="T6" s="136" t="s">
        <v>1073</v>
      </c>
      <c r="U6" s="136" t="s">
        <v>1073</v>
      </c>
      <c r="V6" s="136" t="s">
        <v>1073</v>
      </c>
      <c r="W6" s="136" t="s">
        <v>1073</v>
      </c>
      <c r="X6" s="136" t="s">
        <v>1073</v>
      </c>
      <c r="Y6" s="136" t="s">
        <v>1073</v>
      </c>
      <c r="Z6" s="136" t="s">
        <v>1073</v>
      </c>
      <c r="AA6" s="136" t="s">
        <v>1073</v>
      </c>
      <c r="AB6" s="136" t="s">
        <v>1073</v>
      </c>
      <c r="AC6" s="136" t="s">
        <v>1073</v>
      </c>
      <c r="AD6" s="136" t="s">
        <v>1073</v>
      </c>
      <c r="AE6" s="136" t="s">
        <v>1073</v>
      </c>
      <c r="AF6" s="136" t="s">
        <v>1073</v>
      </c>
      <c r="AG6" s="136" t="s">
        <v>1073</v>
      </c>
      <c r="AH6" s="136" t="s">
        <v>1073</v>
      </c>
      <c r="AI6" s="136" t="s">
        <v>1073</v>
      </c>
      <c r="AJ6" s="136" t="s">
        <v>1073</v>
      </c>
      <c r="AK6" s="136" t="s">
        <v>1073</v>
      </c>
      <c r="AL6" s="136" t="s">
        <v>1073</v>
      </c>
      <c r="AM6" s="136" t="s">
        <v>1073</v>
      </c>
      <c r="AN6" s="136" t="s">
        <v>1073</v>
      </c>
      <c r="AO6" s="136" t="s">
        <v>1073</v>
      </c>
      <c r="AP6" s="136" t="s">
        <v>1073</v>
      </c>
      <c r="AQ6" s="136" t="s">
        <v>1073</v>
      </c>
      <c r="AR6" s="136" t="s">
        <v>1073</v>
      </c>
      <c r="AS6" s="136" t="s">
        <v>1073</v>
      </c>
      <c r="AT6" s="136" t="s">
        <v>1073</v>
      </c>
      <c r="AU6" s="136" t="s">
        <v>1073</v>
      </c>
      <c r="AV6" s="136" t="s">
        <v>1073</v>
      </c>
      <c r="AW6" s="136" t="s">
        <v>1073</v>
      </c>
      <c r="AX6" s="136" t="s">
        <v>1073</v>
      </c>
      <c r="AY6" s="136" t="s">
        <v>1073</v>
      </c>
      <c r="AZ6" s="136" t="s">
        <v>1073</v>
      </c>
      <c r="BA6" s="136" t="s">
        <v>1073</v>
      </c>
      <c r="BB6" s="136" t="s">
        <v>1073</v>
      </c>
      <c r="BC6" s="136" t="s">
        <v>1073</v>
      </c>
      <c r="BD6" s="136" t="s">
        <v>1073</v>
      </c>
      <c r="BE6" s="136" t="s">
        <v>1073</v>
      </c>
      <c r="BF6" s="136" t="s">
        <v>1073</v>
      </c>
      <c r="BG6" s="136" t="s">
        <v>1073</v>
      </c>
      <c r="BH6" s="136" t="s">
        <v>1073</v>
      </c>
      <c r="BI6" s="136" t="s">
        <v>1073</v>
      </c>
      <c r="BJ6" s="136" t="s">
        <v>1073</v>
      </c>
      <c r="BK6" s="136" t="s">
        <v>1073</v>
      </c>
      <c r="BL6" s="136" t="s">
        <v>1073</v>
      </c>
      <c r="BM6" s="136" t="s">
        <v>1073</v>
      </c>
      <c r="BN6" s="136" t="s">
        <v>1073</v>
      </c>
      <c r="BO6" s="136" t="s">
        <v>1073</v>
      </c>
      <c r="BP6" s="136" t="s">
        <v>1073</v>
      </c>
      <c r="BQ6" s="136" t="s">
        <v>1073</v>
      </c>
      <c r="BR6" s="136" t="s">
        <v>1073</v>
      </c>
      <c r="BS6" s="136" t="s">
        <v>1073</v>
      </c>
      <c r="BT6" s="136" t="s">
        <v>1073</v>
      </c>
      <c r="BU6" s="136" t="s">
        <v>1073</v>
      </c>
      <c r="BV6" s="136" t="s">
        <v>1073</v>
      </c>
      <c r="BW6" s="136" t="s">
        <v>1073</v>
      </c>
      <c r="BX6" s="136" t="s">
        <v>1073</v>
      </c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129" t="s">
        <v>1073</v>
      </c>
      <c r="CJ6" s="129" t="s">
        <v>1073</v>
      </c>
      <c r="CK6" s="129" t="s">
        <v>1073</v>
      </c>
      <c r="CL6" s="129" t="s">
        <v>1073</v>
      </c>
      <c r="CM6" s="129" t="s">
        <v>1073</v>
      </c>
      <c r="CN6" s="129" t="s">
        <v>1073</v>
      </c>
      <c r="CO6" s="129" t="s">
        <v>1073</v>
      </c>
      <c r="CP6" s="129" t="s">
        <v>1073</v>
      </c>
      <c r="CQ6" s="129" t="s">
        <v>1073</v>
      </c>
      <c r="CR6" s="129" t="s">
        <v>1073</v>
      </c>
      <c r="CS6" s="129" t="s">
        <v>1073</v>
      </c>
      <c r="CT6" s="129" t="s">
        <v>1073</v>
      </c>
      <c r="CU6" s="129" t="s">
        <v>1073</v>
      </c>
      <c r="CV6" s="129" t="s">
        <v>1073</v>
      </c>
      <c r="CW6" s="129" t="s">
        <v>1073</v>
      </c>
      <c r="CX6" s="129" t="s">
        <v>1073</v>
      </c>
      <c r="CY6" s="129" t="s">
        <v>1073</v>
      </c>
      <c r="CZ6" s="129" t="s">
        <v>1073</v>
      </c>
      <c r="DA6" s="129" t="s">
        <v>1073</v>
      </c>
    </row>
    <row r="7" spans="1:105" ht="14.25">
      <c r="A7" s="133" t="s">
        <v>1073</v>
      </c>
      <c r="B7" s="134" t="s">
        <v>791</v>
      </c>
      <c r="C7" s="134" t="s">
        <v>791</v>
      </c>
      <c r="D7" s="134" t="s">
        <v>791</v>
      </c>
      <c r="E7" s="134" t="s">
        <v>791</v>
      </c>
      <c r="F7" s="134" t="s">
        <v>791</v>
      </c>
      <c r="G7" s="134" t="s">
        <v>791</v>
      </c>
      <c r="H7" s="134" t="s">
        <v>791</v>
      </c>
      <c r="I7" s="134" t="s">
        <v>791</v>
      </c>
      <c r="J7" s="134" t="s">
        <v>791</v>
      </c>
      <c r="K7" s="134" t="s">
        <v>791</v>
      </c>
      <c r="L7" s="134" t="s">
        <v>791</v>
      </c>
      <c r="M7" s="134" t="s">
        <v>791</v>
      </c>
      <c r="N7" s="134" t="s">
        <v>791</v>
      </c>
      <c r="O7" s="134" t="s">
        <v>791</v>
      </c>
      <c r="P7" s="134" t="s">
        <v>791</v>
      </c>
      <c r="Q7" s="134" t="s">
        <v>791</v>
      </c>
      <c r="R7" s="134" t="s">
        <v>791</v>
      </c>
      <c r="S7" s="134" t="s">
        <v>791</v>
      </c>
      <c r="T7" s="134" t="s">
        <v>791</v>
      </c>
      <c r="U7" s="134" t="s">
        <v>791</v>
      </c>
      <c r="V7" s="134" t="s">
        <v>791</v>
      </c>
      <c r="W7" s="134" t="s">
        <v>791</v>
      </c>
      <c r="X7" s="134" t="s">
        <v>791</v>
      </c>
      <c r="Y7" s="134" t="s">
        <v>791</v>
      </c>
      <c r="Z7" s="134" t="s">
        <v>791</v>
      </c>
      <c r="AA7" s="134" t="s">
        <v>791</v>
      </c>
      <c r="AB7" s="134" t="s">
        <v>791</v>
      </c>
      <c r="AC7" s="134" t="s">
        <v>791</v>
      </c>
      <c r="AD7" s="134" t="s">
        <v>791</v>
      </c>
      <c r="AE7" s="134" t="s">
        <v>791</v>
      </c>
      <c r="AF7" s="134" t="s">
        <v>791</v>
      </c>
      <c r="AG7" s="134" t="s">
        <v>791</v>
      </c>
      <c r="AH7" s="134" t="s">
        <v>791</v>
      </c>
      <c r="AI7" s="134" t="s">
        <v>791</v>
      </c>
      <c r="AJ7" s="134" t="s">
        <v>791</v>
      </c>
      <c r="AK7" s="134" t="s">
        <v>791</v>
      </c>
      <c r="AL7" s="134" t="s">
        <v>791</v>
      </c>
      <c r="AM7" s="134" t="s">
        <v>791</v>
      </c>
      <c r="AN7" s="134" t="s">
        <v>791</v>
      </c>
      <c r="AO7" s="134" t="s">
        <v>791</v>
      </c>
      <c r="AP7" s="134" t="s">
        <v>791</v>
      </c>
      <c r="AQ7" s="134" t="s">
        <v>791</v>
      </c>
      <c r="AR7" s="134" t="s">
        <v>791</v>
      </c>
      <c r="AS7" s="134" t="s">
        <v>791</v>
      </c>
      <c r="AT7" s="134" t="s">
        <v>791</v>
      </c>
      <c r="AU7" s="134" t="s">
        <v>791</v>
      </c>
      <c r="AV7" s="134" t="s">
        <v>791</v>
      </c>
      <c r="AW7" s="134" t="s">
        <v>791</v>
      </c>
      <c r="AX7" s="134" t="s">
        <v>791</v>
      </c>
      <c r="AY7" s="134" t="s">
        <v>791</v>
      </c>
      <c r="AZ7" s="134" t="s">
        <v>791</v>
      </c>
      <c r="BA7" s="134" t="s">
        <v>791</v>
      </c>
      <c r="BB7" s="134" t="s">
        <v>791</v>
      </c>
      <c r="BC7" s="134" t="s">
        <v>791</v>
      </c>
      <c r="BD7" s="134" t="s">
        <v>791</v>
      </c>
      <c r="BE7" s="134" t="s">
        <v>791</v>
      </c>
      <c r="BF7" s="134" t="s">
        <v>791</v>
      </c>
      <c r="BG7" s="134" t="s">
        <v>791</v>
      </c>
      <c r="BH7" s="134" t="s">
        <v>791</v>
      </c>
      <c r="BI7" s="134" t="s">
        <v>791</v>
      </c>
      <c r="BJ7" s="134" t="s">
        <v>791</v>
      </c>
      <c r="BK7" s="134" t="s">
        <v>791</v>
      </c>
      <c r="BL7" s="134" t="s">
        <v>791</v>
      </c>
      <c r="BM7" s="134" t="s">
        <v>791</v>
      </c>
      <c r="BN7" s="134" t="s">
        <v>791</v>
      </c>
      <c r="BO7" s="134" t="s">
        <v>791</v>
      </c>
      <c r="BP7" s="134" t="s">
        <v>791</v>
      </c>
      <c r="BQ7" s="134" t="s">
        <v>791</v>
      </c>
      <c r="BR7" s="134" t="s">
        <v>791</v>
      </c>
      <c r="BS7" s="134" t="s">
        <v>791</v>
      </c>
      <c r="BT7" s="134" t="s">
        <v>791</v>
      </c>
      <c r="BU7" s="134" t="s">
        <v>791</v>
      </c>
      <c r="BV7" s="134" t="s">
        <v>791</v>
      </c>
      <c r="BW7" s="134" t="s">
        <v>791</v>
      </c>
      <c r="BX7" s="134" t="s">
        <v>791</v>
      </c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29" t="s">
        <v>1073</v>
      </c>
      <c r="CJ7" s="129" t="s">
        <v>1073</v>
      </c>
      <c r="CK7" s="129" t="s">
        <v>1073</v>
      </c>
      <c r="CL7" s="129" t="s">
        <v>1073</v>
      </c>
      <c r="CM7" s="129" t="s">
        <v>1073</v>
      </c>
      <c r="CN7" s="129" t="s">
        <v>1073</v>
      </c>
      <c r="CO7" s="129" t="s">
        <v>1073</v>
      </c>
      <c r="CP7" s="129" t="s">
        <v>1073</v>
      </c>
      <c r="CQ7" s="129" t="s">
        <v>1073</v>
      </c>
      <c r="CR7" s="129" t="s">
        <v>1073</v>
      </c>
      <c r="CS7" s="129" t="s">
        <v>1073</v>
      </c>
      <c r="CT7" s="129" t="s">
        <v>1073</v>
      </c>
      <c r="CU7" s="129" t="s">
        <v>1073</v>
      </c>
      <c r="CV7" s="129" t="s">
        <v>1073</v>
      </c>
      <c r="CW7" s="129" t="s">
        <v>1073</v>
      </c>
      <c r="CX7" s="129" t="s">
        <v>1073</v>
      </c>
      <c r="CY7" s="129" t="s">
        <v>1073</v>
      </c>
      <c r="CZ7" s="129" t="s">
        <v>1073</v>
      </c>
      <c r="DA7" s="129" t="s">
        <v>1073</v>
      </c>
    </row>
    <row r="8" spans="1:105" ht="14.25">
      <c r="A8" s="133" t="s">
        <v>1073</v>
      </c>
      <c r="B8" s="134" t="s">
        <v>792</v>
      </c>
      <c r="C8" s="134" t="s">
        <v>792</v>
      </c>
      <c r="D8" s="134" t="s">
        <v>792</v>
      </c>
      <c r="E8" s="134" t="s">
        <v>792</v>
      </c>
      <c r="F8" s="134" t="s">
        <v>792</v>
      </c>
      <c r="G8" s="134" t="s">
        <v>792</v>
      </c>
      <c r="H8" s="134" t="s">
        <v>792</v>
      </c>
      <c r="I8" s="134" t="s">
        <v>792</v>
      </c>
      <c r="J8" s="134" t="s">
        <v>792</v>
      </c>
      <c r="K8" s="134" t="s">
        <v>792</v>
      </c>
      <c r="L8" s="134" t="s">
        <v>792</v>
      </c>
      <c r="M8" s="134" t="s">
        <v>792</v>
      </c>
      <c r="N8" s="134" t="s">
        <v>792</v>
      </c>
      <c r="O8" s="134" t="s">
        <v>792</v>
      </c>
      <c r="P8" s="134" t="s">
        <v>792</v>
      </c>
      <c r="Q8" s="134" t="s">
        <v>792</v>
      </c>
      <c r="R8" s="134" t="s">
        <v>792</v>
      </c>
      <c r="S8" s="134" t="s">
        <v>792</v>
      </c>
      <c r="T8" s="134" t="s">
        <v>792</v>
      </c>
      <c r="U8" s="134" t="s">
        <v>792</v>
      </c>
      <c r="V8" s="134" t="s">
        <v>792</v>
      </c>
      <c r="W8" s="134" t="s">
        <v>792</v>
      </c>
      <c r="X8" s="134" t="s">
        <v>792</v>
      </c>
      <c r="Y8" s="134" t="s">
        <v>792</v>
      </c>
      <c r="Z8" s="134" t="s">
        <v>792</v>
      </c>
      <c r="AA8" s="134" t="s">
        <v>792</v>
      </c>
      <c r="AB8" s="134" t="s">
        <v>792</v>
      </c>
      <c r="AC8" s="134" t="s">
        <v>792</v>
      </c>
      <c r="AD8" s="134" t="s">
        <v>792</v>
      </c>
      <c r="AE8" s="134" t="s">
        <v>792</v>
      </c>
      <c r="AF8" s="134" t="s">
        <v>792</v>
      </c>
      <c r="AG8" s="134" t="s">
        <v>792</v>
      </c>
      <c r="AH8" s="134" t="s">
        <v>792</v>
      </c>
      <c r="AI8" s="134" t="s">
        <v>792</v>
      </c>
      <c r="AJ8" s="134" t="s">
        <v>792</v>
      </c>
      <c r="AK8" s="134" t="s">
        <v>792</v>
      </c>
      <c r="AL8" s="134" t="s">
        <v>792</v>
      </c>
      <c r="AM8" s="134" t="s">
        <v>792</v>
      </c>
      <c r="AN8" s="134" t="s">
        <v>792</v>
      </c>
      <c r="AO8" s="134" t="s">
        <v>792</v>
      </c>
      <c r="AP8" s="134" t="s">
        <v>792</v>
      </c>
      <c r="AQ8" s="134" t="s">
        <v>792</v>
      </c>
      <c r="AR8" s="134" t="s">
        <v>792</v>
      </c>
      <c r="AS8" s="134" t="s">
        <v>792</v>
      </c>
      <c r="AT8" s="134" t="s">
        <v>792</v>
      </c>
      <c r="AU8" s="134" t="s">
        <v>792</v>
      </c>
      <c r="AV8" s="134" t="s">
        <v>792</v>
      </c>
      <c r="AW8" s="134" t="s">
        <v>792</v>
      </c>
      <c r="AX8" s="134" t="s">
        <v>792</v>
      </c>
      <c r="AY8" s="134" t="s">
        <v>792</v>
      </c>
      <c r="AZ8" s="134" t="s">
        <v>792</v>
      </c>
      <c r="BA8" s="134" t="s">
        <v>792</v>
      </c>
      <c r="BB8" s="134" t="s">
        <v>792</v>
      </c>
      <c r="BC8" s="134" t="s">
        <v>792</v>
      </c>
      <c r="BD8" s="134" t="s">
        <v>792</v>
      </c>
      <c r="BE8" s="134" t="s">
        <v>792</v>
      </c>
      <c r="BF8" s="134" t="s">
        <v>792</v>
      </c>
      <c r="BG8" s="134" t="s">
        <v>792</v>
      </c>
      <c r="BH8" s="134" t="s">
        <v>792</v>
      </c>
      <c r="BI8" s="134" t="s">
        <v>792</v>
      </c>
      <c r="BJ8" s="134" t="s">
        <v>792</v>
      </c>
      <c r="BK8" s="134" t="s">
        <v>792</v>
      </c>
      <c r="BL8" s="134" t="s">
        <v>792</v>
      </c>
      <c r="BM8" s="134" t="s">
        <v>792</v>
      </c>
      <c r="BN8" s="134" t="s">
        <v>792</v>
      </c>
      <c r="BO8" s="134" t="s">
        <v>792</v>
      </c>
      <c r="BP8" s="134" t="s">
        <v>792</v>
      </c>
      <c r="BQ8" s="134" t="s">
        <v>792</v>
      </c>
      <c r="BR8" s="134" t="s">
        <v>792</v>
      </c>
      <c r="BS8" s="134" t="s">
        <v>792</v>
      </c>
      <c r="BT8" s="134" t="s">
        <v>792</v>
      </c>
      <c r="BU8" s="134" t="s">
        <v>792</v>
      </c>
      <c r="BV8" s="134" t="s">
        <v>792</v>
      </c>
      <c r="BW8" s="134" t="s">
        <v>792</v>
      </c>
      <c r="BX8" s="134" t="s">
        <v>792</v>
      </c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29" t="s">
        <v>1073</v>
      </c>
      <c r="CJ8" s="129" t="s">
        <v>1073</v>
      </c>
      <c r="CK8" s="129" t="s">
        <v>1073</v>
      </c>
      <c r="CL8" s="129" t="s">
        <v>1073</v>
      </c>
      <c r="CM8" s="129" t="s">
        <v>1073</v>
      </c>
      <c r="CN8" s="129" t="s">
        <v>1073</v>
      </c>
      <c r="CO8" s="129" t="s">
        <v>1073</v>
      </c>
      <c r="CP8" s="129" t="s">
        <v>1073</v>
      </c>
      <c r="CQ8" s="129" t="s">
        <v>1073</v>
      </c>
      <c r="CR8" s="129" t="s">
        <v>1073</v>
      </c>
      <c r="CS8" s="129" t="s">
        <v>1073</v>
      </c>
      <c r="CT8" s="129" t="s">
        <v>1073</v>
      </c>
      <c r="CU8" s="129" t="s">
        <v>1073</v>
      </c>
      <c r="CV8" s="129" t="s">
        <v>1073</v>
      </c>
      <c r="CW8" s="129" t="s">
        <v>1073</v>
      </c>
      <c r="CX8" s="129" t="s">
        <v>1073</v>
      </c>
      <c r="CY8" s="129" t="s">
        <v>1073</v>
      </c>
      <c r="CZ8" s="129" t="s">
        <v>1073</v>
      </c>
      <c r="DA8" s="129" t="s">
        <v>1073</v>
      </c>
    </row>
    <row r="9" spans="1:105" ht="14.25">
      <c r="A9" s="133"/>
      <c r="B9" s="136" t="s">
        <v>1073</v>
      </c>
      <c r="C9" s="136" t="s">
        <v>1073</v>
      </c>
      <c r="D9" s="136" t="s">
        <v>1073</v>
      </c>
      <c r="E9" s="136" t="s">
        <v>1073</v>
      </c>
      <c r="F9" s="136" t="s">
        <v>1073</v>
      </c>
      <c r="G9" s="136" t="s">
        <v>1073</v>
      </c>
      <c r="H9" s="136" t="s">
        <v>1073</v>
      </c>
      <c r="I9" s="136" t="s">
        <v>1073</v>
      </c>
      <c r="J9" s="136" t="s">
        <v>1073</v>
      </c>
      <c r="K9" s="136" t="s">
        <v>1073</v>
      </c>
      <c r="L9" s="136" t="s">
        <v>1073</v>
      </c>
      <c r="M9" s="136" t="s">
        <v>1073</v>
      </c>
      <c r="N9" s="136" t="s">
        <v>1073</v>
      </c>
      <c r="O9" s="136" t="s">
        <v>1073</v>
      </c>
      <c r="P9" s="136" t="s">
        <v>1073</v>
      </c>
      <c r="Q9" s="136" t="s">
        <v>1073</v>
      </c>
      <c r="R9" s="136" t="s">
        <v>1073</v>
      </c>
      <c r="S9" s="136" t="s">
        <v>1073</v>
      </c>
      <c r="T9" s="136" t="s">
        <v>1073</v>
      </c>
      <c r="U9" s="136" t="s">
        <v>1073</v>
      </c>
      <c r="V9" s="136" t="s">
        <v>1073</v>
      </c>
      <c r="W9" s="136" t="s">
        <v>1073</v>
      </c>
      <c r="X9" s="136" t="s">
        <v>1073</v>
      </c>
      <c r="Y9" s="136" t="s">
        <v>1073</v>
      </c>
      <c r="Z9" s="136" t="s">
        <v>1073</v>
      </c>
      <c r="AA9" s="136" t="s">
        <v>1073</v>
      </c>
      <c r="AB9" s="136" t="s">
        <v>1073</v>
      </c>
      <c r="AC9" s="136" t="s">
        <v>1073</v>
      </c>
      <c r="AD9" s="136" t="s">
        <v>1073</v>
      </c>
      <c r="AE9" s="136" t="s">
        <v>1073</v>
      </c>
      <c r="AF9" s="136" t="s">
        <v>1073</v>
      </c>
      <c r="AG9" s="136" t="s">
        <v>1073</v>
      </c>
      <c r="AH9" s="136" t="s">
        <v>1073</v>
      </c>
      <c r="AI9" s="136" t="s">
        <v>1073</v>
      </c>
      <c r="AJ9" s="136" t="s">
        <v>1073</v>
      </c>
      <c r="AK9" s="136" t="s">
        <v>1073</v>
      </c>
      <c r="AL9" s="136" t="s">
        <v>1073</v>
      </c>
      <c r="AM9" s="136" t="s">
        <v>1073</v>
      </c>
      <c r="AN9" s="136" t="s">
        <v>1073</v>
      </c>
      <c r="AO9" s="136" t="s">
        <v>1073</v>
      </c>
      <c r="AP9" s="136" t="s">
        <v>1073</v>
      </c>
      <c r="AQ9" s="136" t="s">
        <v>1073</v>
      </c>
      <c r="AR9" s="138" t="str">
        <f>IF(AR$37="-307","Surface-mounted, with detachable HMI","Surface-mounted, with detachable HMI - available from 307 hardware onwards only")</f>
        <v>Surface-mounted, with detachable HMI - available from 307 hardware onwards only</v>
      </c>
      <c r="AS9" s="136" t="s">
        <v>1073</v>
      </c>
      <c r="AT9" s="138" t="str">
        <f aca="true" t="shared" si="0" ref="AT9:BA9">IF(AT$37="-307","Surface-mounted, with detachable HMI","Surface-mounted, with detachable HMI - available from 307 hardware onwards only")</f>
        <v>Surface-mounted, with detachable HMI - available from 307 hardware onwards only</v>
      </c>
      <c r="AU9" s="138" t="str">
        <f t="shared" si="0"/>
        <v>Surface-mounted, with detachable HMI - available from 307 hardware onwards only</v>
      </c>
      <c r="AV9" s="138" t="str">
        <f t="shared" si="0"/>
        <v>Surface-mounted, with detachable HMI - available from 307 hardware onwards only</v>
      </c>
      <c r="AW9" s="138" t="str">
        <f t="shared" si="0"/>
        <v>Surface-mounted, with detachable HMI - available from 307 hardware onwards only</v>
      </c>
      <c r="AX9" s="138" t="str">
        <f t="shared" si="0"/>
        <v>Surface-mounted, with detachable HMI - available from 307 hardware onwards only</v>
      </c>
      <c r="AY9" s="138" t="str">
        <f t="shared" si="0"/>
        <v>Surface-mounted, with detachable HMI - available from 307 hardware onwards only</v>
      </c>
      <c r="AZ9" s="138" t="str">
        <f t="shared" si="0"/>
        <v>Surface-mounted, with detachable HMI - available from 307 hardware onwards only</v>
      </c>
      <c r="BA9" s="138" t="str">
        <f t="shared" si="0"/>
        <v>Surface-mounted, with detachable HMI - available from 307 hardware onwards only</v>
      </c>
      <c r="BB9" s="134" t="s">
        <v>890</v>
      </c>
      <c r="BC9" s="134" t="s">
        <v>890</v>
      </c>
      <c r="BD9" s="134" t="s">
        <v>890</v>
      </c>
      <c r="BE9" s="134" t="s">
        <v>890</v>
      </c>
      <c r="BF9" s="134" t="s">
        <v>890</v>
      </c>
      <c r="BG9" s="134" t="s">
        <v>890</v>
      </c>
      <c r="BH9" s="134" t="s">
        <v>890</v>
      </c>
      <c r="BI9" s="134" t="s">
        <v>890</v>
      </c>
      <c r="BJ9" s="134" t="s">
        <v>890</v>
      </c>
      <c r="BK9" s="134" t="s">
        <v>890</v>
      </c>
      <c r="BL9" s="134" t="s">
        <v>890</v>
      </c>
      <c r="BM9" s="134" t="s">
        <v>890</v>
      </c>
      <c r="BN9" s="134" t="s">
        <v>890</v>
      </c>
      <c r="BO9" s="134" t="s">
        <v>890</v>
      </c>
      <c r="BP9" s="134" t="s">
        <v>890</v>
      </c>
      <c r="BQ9" s="134" t="s">
        <v>890</v>
      </c>
      <c r="BR9" s="134" t="s">
        <v>890</v>
      </c>
      <c r="BS9" s="134" t="s">
        <v>890</v>
      </c>
      <c r="BT9" s="134" t="s">
        <v>890</v>
      </c>
      <c r="BU9" s="134" t="s">
        <v>890</v>
      </c>
      <c r="BV9" s="134" t="s">
        <v>890</v>
      </c>
      <c r="BW9" s="134" t="s">
        <v>890</v>
      </c>
      <c r="BX9" s="134" t="s">
        <v>890</v>
      </c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</row>
    <row r="10" spans="1:105" ht="14.25">
      <c r="A10" s="133"/>
      <c r="B10" s="136" t="s">
        <v>1073</v>
      </c>
      <c r="C10" s="136" t="s">
        <v>1073</v>
      </c>
      <c r="D10" s="136" t="s">
        <v>1073</v>
      </c>
      <c r="E10" s="136" t="s">
        <v>1073</v>
      </c>
      <c r="F10" s="136" t="s">
        <v>1073</v>
      </c>
      <c r="G10" s="136" t="s">
        <v>1073</v>
      </c>
      <c r="H10" s="136" t="s">
        <v>1073</v>
      </c>
      <c r="I10" s="136" t="s">
        <v>1073</v>
      </c>
      <c r="J10" s="136" t="s">
        <v>1073</v>
      </c>
      <c r="K10" s="136" t="s">
        <v>1073</v>
      </c>
      <c r="L10" s="136" t="s">
        <v>1073</v>
      </c>
      <c r="M10" s="136" t="s">
        <v>1073</v>
      </c>
      <c r="N10" s="136" t="s">
        <v>1073</v>
      </c>
      <c r="O10" s="136" t="s">
        <v>1073</v>
      </c>
      <c r="P10" s="136" t="s">
        <v>1073</v>
      </c>
      <c r="Q10" s="136" t="s">
        <v>1073</v>
      </c>
      <c r="R10" s="136" t="s">
        <v>1073</v>
      </c>
      <c r="S10" s="136" t="s">
        <v>1073</v>
      </c>
      <c r="T10" s="136" t="s">
        <v>1073</v>
      </c>
      <c r="U10" s="136" t="s">
        <v>1073</v>
      </c>
      <c r="V10" s="136" t="s">
        <v>1073</v>
      </c>
      <c r="W10" s="136" t="s">
        <v>1073</v>
      </c>
      <c r="X10" s="136" t="s">
        <v>1073</v>
      </c>
      <c r="Y10" s="136" t="s">
        <v>1073</v>
      </c>
      <c r="Z10" s="136" t="s">
        <v>1073</v>
      </c>
      <c r="AA10" s="136" t="s">
        <v>1073</v>
      </c>
      <c r="AB10" s="136" t="s">
        <v>1073</v>
      </c>
      <c r="AC10" s="136" t="s">
        <v>1073</v>
      </c>
      <c r="AD10" s="136" t="s">
        <v>1073</v>
      </c>
      <c r="AE10" s="136" t="s">
        <v>1073</v>
      </c>
      <c r="AF10" s="136" t="s">
        <v>1073</v>
      </c>
      <c r="AG10" s="136" t="s">
        <v>1073</v>
      </c>
      <c r="AH10" s="136" t="s">
        <v>1073</v>
      </c>
      <c r="AI10" s="136" t="s">
        <v>1073</v>
      </c>
      <c r="AJ10" s="136" t="s">
        <v>1073</v>
      </c>
      <c r="AK10" s="136" t="s">
        <v>1073</v>
      </c>
      <c r="AL10" s="136" t="s">
        <v>1073</v>
      </c>
      <c r="AM10" s="136" t="s">
        <v>1073</v>
      </c>
      <c r="AN10" s="136" t="s">
        <v>1073</v>
      </c>
      <c r="AO10" s="136" t="s">
        <v>1073</v>
      </c>
      <c r="AP10" s="136" t="s">
        <v>1073</v>
      </c>
      <c r="AQ10" s="136" t="s">
        <v>1073</v>
      </c>
      <c r="AR10" s="138" t="str">
        <f>IF(AR$37="-307","Flush-mounted, with detachable HMI","Flush-mounted, with detachable HMI - available from 307 hardware onwards only")</f>
        <v>Flush-mounted, with detachable HMI - available from 307 hardware onwards only</v>
      </c>
      <c r="AS10" s="136" t="s">
        <v>1073</v>
      </c>
      <c r="AT10" s="138" t="str">
        <f aca="true" t="shared" si="1" ref="AT10:BA10">IF(AT$37="-307","Flush-mounted, with detachable HMI","Flush-mounted, with detachable HMI - available from 307 hardware onwards only")</f>
        <v>Flush-mounted, with detachable HMI - available from 307 hardware onwards only</v>
      </c>
      <c r="AU10" s="138" t="str">
        <f t="shared" si="1"/>
        <v>Flush-mounted, with detachable HMI - available from 307 hardware onwards only</v>
      </c>
      <c r="AV10" s="138" t="str">
        <f t="shared" si="1"/>
        <v>Flush-mounted, with detachable HMI - available from 307 hardware onwards only</v>
      </c>
      <c r="AW10" s="138" t="str">
        <f t="shared" si="1"/>
        <v>Flush-mounted, with detachable HMI - available from 307 hardware onwards only</v>
      </c>
      <c r="AX10" s="138" t="str">
        <f t="shared" si="1"/>
        <v>Flush-mounted, with detachable HMI - available from 307 hardware onwards only</v>
      </c>
      <c r="AY10" s="138" t="str">
        <f t="shared" si="1"/>
        <v>Flush-mounted, with detachable HMI - available from 307 hardware onwards only</v>
      </c>
      <c r="AZ10" s="138" t="str">
        <f t="shared" si="1"/>
        <v>Flush-mounted, with detachable HMI - available from 307 hardware onwards only</v>
      </c>
      <c r="BA10" s="138" t="str">
        <f t="shared" si="1"/>
        <v>Flush-mounted, with detachable HMI - available from 307 hardware onwards only</v>
      </c>
      <c r="BB10" s="134" t="s">
        <v>891</v>
      </c>
      <c r="BC10" s="134" t="s">
        <v>891</v>
      </c>
      <c r="BD10" s="134" t="s">
        <v>891</v>
      </c>
      <c r="BE10" s="134" t="s">
        <v>891</v>
      </c>
      <c r="BF10" s="134" t="s">
        <v>891</v>
      </c>
      <c r="BG10" s="134" t="s">
        <v>891</v>
      </c>
      <c r="BH10" s="134" t="s">
        <v>891</v>
      </c>
      <c r="BI10" s="134" t="s">
        <v>891</v>
      </c>
      <c r="BJ10" s="134" t="s">
        <v>891</v>
      </c>
      <c r="BK10" s="134" t="s">
        <v>891</v>
      </c>
      <c r="BL10" s="134" t="s">
        <v>891</v>
      </c>
      <c r="BM10" s="134" t="s">
        <v>891</v>
      </c>
      <c r="BN10" s="134" t="s">
        <v>891</v>
      </c>
      <c r="BO10" s="134" t="s">
        <v>891</v>
      </c>
      <c r="BP10" s="134" t="s">
        <v>891</v>
      </c>
      <c r="BQ10" s="134" t="s">
        <v>891</v>
      </c>
      <c r="BR10" s="134" t="s">
        <v>891</v>
      </c>
      <c r="BS10" s="134" t="s">
        <v>891</v>
      </c>
      <c r="BT10" s="134" t="s">
        <v>891</v>
      </c>
      <c r="BU10" s="134" t="s">
        <v>891</v>
      </c>
      <c r="BV10" s="134" t="s">
        <v>891</v>
      </c>
      <c r="BW10" s="134" t="s">
        <v>891</v>
      </c>
      <c r="BX10" s="134" t="s">
        <v>891</v>
      </c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</row>
    <row r="11" spans="1:105" ht="14.25">
      <c r="A11" s="133"/>
      <c r="B11" s="136" t="s">
        <v>1073</v>
      </c>
      <c r="C11" s="136" t="s">
        <v>1073</v>
      </c>
      <c r="D11" s="136" t="s">
        <v>1073</v>
      </c>
      <c r="E11" s="136" t="s">
        <v>1073</v>
      </c>
      <c r="F11" s="136" t="s">
        <v>1073</v>
      </c>
      <c r="G11" s="136" t="s">
        <v>1073</v>
      </c>
      <c r="H11" s="136" t="s">
        <v>1073</v>
      </c>
      <c r="I11" s="136" t="s">
        <v>1073</v>
      </c>
      <c r="J11" s="136" t="s">
        <v>1073</v>
      </c>
      <c r="K11" s="136" t="s">
        <v>1073</v>
      </c>
      <c r="L11" s="136" t="s">
        <v>1073</v>
      </c>
      <c r="M11" s="136" t="s">
        <v>1073</v>
      </c>
      <c r="N11" s="136" t="s">
        <v>1073</v>
      </c>
      <c r="O11" s="136" t="s">
        <v>1073</v>
      </c>
      <c r="P11" s="136" t="s">
        <v>1073</v>
      </c>
      <c r="Q11" s="136" t="s">
        <v>1073</v>
      </c>
      <c r="R11" s="136" t="s">
        <v>1073</v>
      </c>
      <c r="S11" s="136" t="s">
        <v>1073</v>
      </c>
      <c r="T11" s="136" t="s">
        <v>1073</v>
      </c>
      <c r="U11" s="136" t="s">
        <v>1073</v>
      </c>
      <c r="V11" s="136" t="s">
        <v>1073</v>
      </c>
      <c r="W11" s="136" t="s">
        <v>1073</v>
      </c>
      <c r="X11" s="136" t="s">
        <v>1073</v>
      </c>
      <c r="Y11" s="136" t="s">
        <v>1073</v>
      </c>
      <c r="Z11" s="136" t="s">
        <v>1073</v>
      </c>
      <c r="AA11" s="136" t="s">
        <v>1073</v>
      </c>
      <c r="AB11" s="136" t="s">
        <v>1073</v>
      </c>
      <c r="AC11" s="136" t="s">
        <v>1073</v>
      </c>
      <c r="AD11" s="136" t="s">
        <v>1073</v>
      </c>
      <c r="AE11" s="136" t="s">
        <v>1073</v>
      </c>
      <c r="AF11" s="136" t="s">
        <v>1073</v>
      </c>
      <c r="AG11" s="136" t="s">
        <v>1073</v>
      </c>
      <c r="AH11" s="136" t="s">
        <v>1073</v>
      </c>
      <c r="AI11" s="136" t="s">
        <v>1073</v>
      </c>
      <c r="AJ11" s="136" t="s">
        <v>1073</v>
      </c>
      <c r="AK11" s="136" t="s">
        <v>1073</v>
      </c>
      <c r="AL11" s="136" t="s">
        <v>1073</v>
      </c>
      <c r="AM11" s="136" t="s">
        <v>1073</v>
      </c>
      <c r="AN11" s="136" t="s">
        <v>1073</v>
      </c>
      <c r="AO11" s="136" t="s">
        <v>1073</v>
      </c>
      <c r="AP11" s="136" t="s">
        <v>1073</v>
      </c>
      <c r="AQ11" s="136" t="s">
        <v>1073</v>
      </c>
      <c r="AR11" s="136" t="s">
        <v>1073</v>
      </c>
      <c r="AS11" s="136" t="s">
        <v>1073</v>
      </c>
      <c r="AT11" s="136" t="s">
        <v>1073</v>
      </c>
      <c r="AU11" s="136" t="s">
        <v>1073</v>
      </c>
      <c r="AV11" s="136" t="s">
        <v>1073</v>
      </c>
      <c r="AW11" s="136" t="s">
        <v>1073</v>
      </c>
      <c r="AX11" s="136" t="s">
        <v>1073</v>
      </c>
      <c r="AY11" s="136" t="s">
        <v>1073</v>
      </c>
      <c r="AZ11" s="136" t="s">
        <v>1073</v>
      </c>
      <c r="BA11" s="136" t="s">
        <v>1073</v>
      </c>
      <c r="BB11" s="136" t="s">
        <v>1073</v>
      </c>
      <c r="BC11" s="136" t="s">
        <v>1073</v>
      </c>
      <c r="BD11" s="136" t="s">
        <v>1073</v>
      </c>
      <c r="BE11" s="136" t="s">
        <v>1073</v>
      </c>
      <c r="BF11" s="136" t="s">
        <v>1073</v>
      </c>
      <c r="BG11" s="136" t="s">
        <v>1073</v>
      </c>
      <c r="BH11" s="136" t="s">
        <v>1073</v>
      </c>
      <c r="BI11" s="136" t="s">
        <v>1073</v>
      </c>
      <c r="BJ11" s="136" t="s">
        <v>1073</v>
      </c>
      <c r="BK11" s="136" t="s">
        <v>1073</v>
      </c>
      <c r="BL11" s="136" t="s">
        <v>1073</v>
      </c>
      <c r="BM11" s="136" t="s">
        <v>1073</v>
      </c>
      <c r="BN11" s="136" t="s">
        <v>1073</v>
      </c>
      <c r="BO11" s="136" t="s">
        <v>1073</v>
      </c>
      <c r="BP11" s="136" t="s">
        <v>1073</v>
      </c>
      <c r="BQ11" s="136" t="s">
        <v>1073</v>
      </c>
      <c r="BR11" s="136" t="s">
        <v>1073</v>
      </c>
      <c r="BS11" s="136" t="s">
        <v>1073</v>
      </c>
      <c r="BT11" s="136" t="s">
        <v>1073</v>
      </c>
      <c r="BU11" s="136" t="s">
        <v>1073</v>
      </c>
      <c r="BV11" s="136" t="s">
        <v>1073</v>
      </c>
      <c r="BW11" s="136" t="s">
        <v>1073</v>
      </c>
      <c r="BX11" s="136" t="s">
        <v>1073</v>
      </c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129" t="s">
        <v>1073</v>
      </c>
      <c r="CJ11" s="129" t="s">
        <v>1073</v>
      </c>
      <c r="CK11" s="129" t="s">
        <v>1073</v>
      </c>
      <c r="CL11" s="129" t="s">
        <v>1073</v>
      </c>
      <c r="CM11" s="129" t="s">
        <v>1073</v>
      </c>
      <c r="CN11" s="129" t="s">
        <v>1073</v>
      </c>
      <c r="CO11" s="129" t="s">
        <v>1073</v>
      </c>
      <c r="CP11" s="129" t="s">
        <v>1073</v>
      </c>
      <c r="CQ11" s="129" t="s">
        <v>1073</v>
      </c>
      <c r="CR11" s="129" t="s">
        <v>1073</v>
      </c>
      <c r="CS11" s="129" t="s">
        <v>1073</v>
      </c>
      <c r="CT11" s="129" t="s">
        <v>1073</v>
      </c>
      <c r="CU11" s="129" t="s">
        <v>1073</v>
      </c>
      <c r="CV11" s="129" t="s">
        <v>1073</v>
      </c>
      <c r="CW11" s="129" t="s">
        <v>1073</v>
      </c>
      <c r="CX11" s="129" t="s">
        <v>1073</v>
      </c>
      <c r="CY11" s="129" t="s">
        <v>1073</v>
      </c>
      <c r="CZ11" s="129" t="s">
        <v>1073</v>
      </c>
      <c r="DA11" s="129" t="s">
        <v>1073</v>
      </c>
    </row>
    <row r="12" spans="1:105" ht="14.25">
      <c r="A12" s="133"/>
      <c r="B12" s="136" t="s">
        <v>1073</v>
      </c>
      <c r="C12" s="136" t="s">
        <v>1073</v>
      </c>
      <c r="D12" s="136" t="s">
        <v>1073</v>
      </c>
      <c r="E12" s="136" t="s">
        <v>1073</v>
      </c>
      <c r="F12" s="136" t="s">
        <v>1073</v>
      </c>
      <c r="G12" s="136" t="s">
        <v>1073</v>
      </c>
      <c r="H12" s="136" t="s">
        <v>1073</v>
      </c>
      <c r="I12" s="136" t="s">
        <v>1073</v>
      </c>
      <c r="J12" s="136" t="s">
        <v>1073</v>
      </c>
      <c r="K12" s="136" t="s">
        <v>1073</v>
      </c>
      <c r="L12" s="136" t="s">
        <v>1073</v>
      </c>
      <c r="M12" s="136" t="s">
        <v>1073</v>
      </c>
      <c r="N12" s="136" t="s">
        <v>1073</v>
      </c>
      <c r="O12" s="136" t="s">
        <v>1073</v>
      </c>
      <c r="P12" s="136" t="s">
        <v>1073</v>
      </c>
      <c r="Q12" s="136" t="s">
        <v>1073</v>
      </c>
      <c r="R12" s="136" t="s">
        <v>1073</v>
      </c>
      <c r="S12" s="136" t="s">
        <v>1073</v>
      </c>
      <c r="T12" s="136" t="s">
        <v>1073</v>
      </c>
      <c r="U12" s="136" t="s">
        <v>1073</v>
      </c>
      <c r="V12" s="136" t="s">
        <v>1073</v>
      </c>
      <c r="W12" s="136" t="s">
        <v>1073</v>
      </c>
      <c r="X12" s="136" t="s">
        <v>1073</v>
      </c>
      <c r="Y12" s="136" t="s">
        <v>1073</v>
      </c>
      <c r="Z12" s="136" t="s">
        <v>1073</v>
      </c>
      <c r="AA12" s="136" t="s">
        <v>1073</v>
      </c>
      <c r="AB12" s="136" t="s">
        <v>1073</v>
      </c>
      <c r="AC12" s="136" t="s">
        <v>1073</v>
      </c>
      <c r="AD12" s="136" t="s">
        <v>1073</v>
      </c>
      <c r="AE12" s="136" t="s">
        <v>1073</v>
      </c>
      <c r="AF12" s="136" t="s">
        <v>1073</v>
      </c>
      <c r="AG12" s="136" t="s">
        <v>1073</v>
      </c>
      <c r="AH12" s="136" t="s">
        <v>1073</v>
      </c>
      <c r="AI12" s="136" t="s">
        <v>1073</v>
      </c>
      <c r="AJ12" s="136" t="s">
        <v>1073</v>
      </c>
      <c r="AK12" s="136" t="s">
        <v>1073</v>
      </c>
      <c r="AL12" s="136" t="s">
        <v>1073</v>
      </c>
      <c r="AM12" s="136" t="s">
        <v>1073</v>
      </c>
      <c r="AN12" s="136" t="s">
        <v>1073</v>
      </c>
      <c r="AO12" s="136" t="s">
        <v>1073</v>
      </c>
      <c r="AP12" s="136" t="s">
        <v>1073</v>
      </c>
      <c r="AQ12" s="136" t="s">
        <v>1073</v>
      </c>
      <c r="AR12" s="136" t="s">
        <v>1073</v>
      </c>
      <c r="AS12" s="136" t="s">
        <v>1073</v>
      </c>
      <c r="AT12" s="136" t="s">
        <v>1073</v>
      </c>
      <c r="AU12" s="136" t="s">
        <v>1073</v>
      </c>
      <c r="AV12" s="136" t="s">
        <v>1073</v>
      </c>
      <c r="AW12" s="136" t="s">
        <v>1073</v>
      </c>
      <c r="AX12" s="136" t="s">
        <v>1073</v>
      </c>
      <c r="AY12" s="136" t="s">
        <v>1073</v>
      </c>
      <c r="AZ12" s="136" t="s">
        <v>1073</v>
      </c>
      <c r="BA12" s="136" t="s">
        <v>1073</v>
      </c>
      <c r="BB12" s="136" t="s">
        <v>1073</v>
      </c>
      <c r="BC12" s="136" t="s">
        <v>1073</v>
      </c>
      <c r="BD12" s="136" t="s">
        <v>1073</v>
      </c>
      <c r="BE12" s="136" t="s">
        <v>1073</v>
      </c>
      <c r="BF12" s="136" t="s">
        <v>1073</v>
      </c>
      <c r="BG12" s="136" t="s">
        <v>1073</v>
      </c>
      <c r="BH12" s="136" t="s">
        <v>1073</v>
      </c>
      <c r="BI12" s="136" t="s">
        <v>1073</v>
      </c>
      <c r="BJ12" s="136" t="s">
        <v>1073</v>
      </c>
      <c r="BK12" s="136" t="s">
        <v>1073</v>
      </c>
      <c r="BL12" s="136" t="s">
        <v>1073</v>
      </c>
      <c r="BM12" s="136" t="s">
        <v>1073</v>
      </c>
      <c r="BN12" s="136" t="s">
        <v>1073</v>
      </c>
      <c r="BO12" s="136" t="s">
        <v>1073</v>
      </c>
      <c r="BP12" s="136" t="s">
        <v>1073</v>
      </c>
      <c r="BQ12" s="136" t="s">
        <v>1073</v>
      </c>
      <c r="BR12" s="136" t="s">
        <v>1073</v>
      </c>
      <c r="BS12" s="136" t="s">
        <v>1073</v>
      </c>
      <c r="BT12" s="136" t="s">
        <v>1073</v>
      </c>
      <c r="BU12" s="136" t="s">
        <v>1073</v>
      </c>
      <c r="BV12" s="136" t="s">
        <v>1073</v>
      </c>
      <c r="BW12" s="136" t="s">
        <v>1073</v>
      </c>
      <c r="BX12" s="136" t="s">
        <v>1073</v>
      </c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129" t="s">
        <v>1073</v>
      </c>
      <c r="CJ12" s="129" t="s">
        <v>1073</v>
      </c>
      <c r="CK12" s="129" t="s">
        <v>1073</v>
      </c>
      <c r="CL12" s="129" t="s">
        <v>1073</v>
      </c>
      <c r="CM12" s="129" t="s">
        <v>1073</v>
      </c>
      <c r="CN12" s="129" t="s">
        <v>1073</v>
      </c>
      <c r="CO12" s="129" t="s">
        <v>1073</v>
      </c>
      <c r="CP12" s="129" t="s">
        <v>1073</v>
      </c>
      <c r="CQ12" s="129" t="s">
        <v>1073</v>
      </c>
      <c r="CR12" s="129" t="s">
        <v>1073</v>
      </c>
      <c r="CS12" s="129" t="s">
        <v>1073</v>
      </c>
      <c r="CT12" s="129" t="s">
        <v>1073</v>
      </c>
      <c r="CU12" s="129" t="s">
        <v>1073</v>
      </c>
      <c r="CV12" s="129" t="s">
        <v>1073</v>
      </c>
      <c r="CW12" s="129" t="s">
        <v>1073</v>
      </c>
      <c r="CX12" s="129" t="s">
        <v>1073</v>
      </c>
      <c r="CY12" s="129" t="s">
        <v>1073</v>
      </c>
      <c r="CZ12" s="129" t="s">
        <v>1073</v>
      </c>
      <c r="DA12" s="129" t="s">
        <v>1073</v>
      </c>
    </row>
    <row r="13" spans="1:105" ht="14.25">
      <c r="A13" s="133"/>
      <c r="B13" s="136" t="s">
        <v>1073</v>
      </c>
      <c r="C13" s="136" t="s">
        <v>1073</v>
      </c>
      <c r="D13" s="136" t="s">
        <v>1073</v>
      </c>
      <c r="E13" s="136" t="s">
        <v>1073</v>
      </c>
      <c r="F13" s="136" t="s">
        <v>1073</v>
      </c>
      <c r="G13" s="136" t="s">
        <v>1073</v>
      </c>
      <c r="H13" s="136" t="s">
        <v>1073</v>
      </c>
      <c r="I13" s="136" t="s">
        <v>1073</v>
      </c>
      <c r="J13" s="136" t="s">
        <v>1073</v>
      </c>
      <c r="K13" s="136" t="s">
        <v>1073</v>
      </c>
      <c r="L13" s="136" t="s">
        <v>1073</v>
      </c>
      <c r="M13" s="136" t="s">
        <v>1073</v>
      </c>
      <c r="N13" s="136" t="s">
        <v>1073</v>
      </c>
      <c r="O13" s="136" t="s">
        <v>1073</v>
      </c>
      <c r="P13" s="136" t="s">
        <v>1073</v>
      </c>
      <c r="Q13" s="136" t="s">
        <v>1073</v>
      </c>
      <c r="R13" s="136" t="s">
        <v>1073</v>
      </c>
      <c r="S13" s="136" t="s">
        <v>1073</v>
      </c>
      <c r="T13" s="136" t="s">
        <v>1073</v>
      </c>
      <c r="U13" s="136" t="s">
        <v>1073</v>
      </c>
      <c r="V13" s="136" t="s">
        <v>1073</v>
      </c>
      <c r="W13" s="136" t="s">
        <v>1073</v>
      </c>
      <c r="X13" s="136" t="s">
        <v>1073</v>
      </c>
      <c r="Y13" s="136" t="s">
        <v>1073</v>
      </c>
      <c r="Z13" s="136" t="s">
        <v>1073</v>
      </c>
      <c r="AA13" s="136" t="s">
        <v>1073</v>
      </c>
      <c r="AB13" s="136" t="s">
        <v>1073</v>
      </c>
      <c r="AC13" s="136" t="s">
        <v>1073</v>
      </c>
      <c r="AD13" s="136" t="s">
        <v>1073</v>
      </c>
      <c r="AE13" s="136" t="s">
        <v>1073</v>
      </c>
      <c r="AF13" s="136" t="s">
        <v>1073</v>
      </c>
      <c r="AG13" s="136" t="s">
        <v>1073</v>
      </c>
      <c r="AH13" s="136" t="s">
        <v>1073</v>
      </c>
      <c r="AI13" s="136" t="s">
        <v>1073</v>
      </c>
      <c r="AJ13" s="136" t="s">
        <v>1073</v>
      </c>
      <c r="AK13" s="136" t="s">
        <v>1073</v>
      </c>
      <c r="AL13" s="136" t="s">
        <v>1073</v>
      </c>
      <c r="AM13" s="136" t="s">
        <v>1073</v>
      </c>
      <c r="AN13" s="136" t="s">
        <v>1073</v>
      </c>
      <c r="AO13" s="136" t="s">
        <v>1073</v>
      </c>
      <c r="AP13" s="136" t="s">
        <v>1073</v>
      </c>
      <c r="AQ13" s="136" t="s">
        <v>1073</v>
      </c>
      <c r="AR13" s="136" t="s">
        <v>1073</v>
      </c>
      <c r="AS13" s="136" t="s">
        <v>1073</v>
      </c>
      <c r="AT13" s="136" t="s">
        <v>1073</v>
      </c>
      <c r="AU13" s="136" t="s">
        <v>1073</v>
      </c>
      <c r="AV13" s="136" t="s">
        <v>1073</v>
      </c>
      <c r="AW13" s="136" t="s">
        <v>1073</v>
      </c>
      <c r="AX13" s="136" t="s">
        <v>1073</v>
      </c>
      <c r="AY13" s="136" t="s">
        <v>1073</v>
      </c>
      <c r="AZ13" s="136" t="s">
        <v>1073</v>
      </c>
      <c r="BA13" s="136" t="s">
        <v>1073</v>
      </c>
      <c r="BB13" s="136" t="s">
        <v>1073</v>
      </c>
      <c r="BC13" s="136" t="s">
        <v>1073</v>
      </c>
      <c r="BD13" s="136" t="s">
        <v>1073</v>
      </c>
      <c r="BE13" s="136" t="s">
        <v>1073</v>
      </c>
      <c r="BF13" s="136" t="s">
        <v>1073</v>
      </c>
      <c r="BG13" s="136" t="s">
        <v>1073</v>
      </c>
      <c r="BH13" s="136" t="s">
        <v>1073</v>
      </c>
      <c r="BI13" s="136" t="s">
        <v>1073</v>
      </c>
      <c r="BJ13" s="136" t="s">
        <v>1073</v>
      </c>
      <c r="BK13" s="136" t="s">
        <v>1073</v>
      </c>
      <c r="BL13" s="136" t="s">
        <v>1073</v>
      </c>
      <c r="BM13" s="136" t="s">
        <v>1073</v>
      </c>
      <c r="BN13" s="136" t="s">
        <v>1073</v>
      </c>
      <c r="BO13" s="136" t="s">
        <v>1073</v>
      </c>
      <c r="BP13" s="136" t="s">
        <v>1073</v>
      </c>
      <c r="BQ13" s="136" t="s">
        <v>1073</v>
      </c>
      <c r="BR13" s="136" t="s">
        <v>1073</v>
      </c>
      <c r="BS13" s="136" t="s">
        <v>1073</v>
      </c>
      <c r="BT13" s="136" t="s">
        <v>1073</v>
      </c>
      <c r="BU13" s="136" t="s">
        <v>1073</v>
      </c>
      <c r="BV13" s="136" t="s">
        <v>1073</v>
      </c>
      <c r="BW13" s="136" t="s">
        <v>1073</v>
      </c>
      <c r="BX13" s="136" t="s">
        <v>1073</v>
      </c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ht="14.25">
      <c r="A14" s="133"/>
      <c r="B14" s="136" t="s">
        <v>1073</v>
      </c>
      <c r="C14" s="136" t="s">
        <v>1073</v>
      </c>
      <c r="D14" s="136" t="s">
        <v>1073</v>
      </c>
      <c r="E14" s="136" t="s">
        <v>1073</v>
      </c>
      <c r="F14" s="136" t="s">
        <v>1073</v>
      </c>
      <c r="G14" s="136" t="s">
        <v>1073</v>
      </c>
      <c r="H14" s="136" t="s">
        <v>1073</v>
      </c>
      <c r="I14" s="136" t="s">
        <v>1073</v>
      </c>
      <c r="J14" s="136" t="s">
        <v>1073</v>
      </c>
      <c r="K14" s="136" t="s">
        <v>1073</v>
      </c>
      <c r="L14" s="136" t="s">
        <v>1073</v>
      </c>
      <c r="M14" s="136" t="s">
        <v>1073</v>
      </c>
      <c r="N14" s="136" t="s">
        <v>1073</v>
      </c>
      <c r="O14" s="136" t="s">
        <v>1073</v>
      </c>
      <c r="P14" s="136" t="s">
        <v>1073</v>
      </c>
      <c r="Q14" s="136" t="s">
        <v>1073</v>
      </c>
      <c r="R14" s="136" t="s">
        <v>1073</v>
      </c>
      <c r="S14" s="136" t="s">
        <v>1073</v>
      </c>
      <c r="T14" s="136" t="s">
        <v>1073</v>
      </c>
      <c r="U14" s="136" t="s">
        <v>1073</v>
      </c>
      <c r="V14" s="136" t="s">
        <v>1073</v>
      </c>
      <c r="W14" s="136" t="s">
        <v>1073</v>
      </c>
      <c r="X14" s="136" t="s">
        <v>1073</v>
      </c>
      <c r="Y14" s="136" t="s">
        <v>1073</v>
      </c>
      <c r="Z14" s="136" t="s">
        <v>1073</v>
      </c>
      <c r="AA14" s="136" t="s">
        <v>1073</v>
      </c>
      <c r="AB14" s="136" t="s">
        <v>1073</v>
      </c>
      <c r="AC14" s="136" t="s">
        <v>1073</v>
      </c>
      <c r="AD14" s="136" t="s">
        <v>1073</v>
      </c>
      <c r="AE14" s="136" t="s">
        <v>1073</v>
      </c>
      <c r="AF14" s="136" t="s">
        <v>1073</v>
      </c>
      <c r="AG14" s="136" t="s">
        <v>1073</v>
      </c>
      <c r="AH14" s="136" t="s">
        <v>1073</v>
      </c>
      <c r="AI14" s="136" t="s">
        <v>1073</v>
      </c>
      <c r="AJ14" s="136" t="s">
        <v>1073</v>
      </c>
      <c r="AK14" s="136" t="s">
        <v>1073</v>
      </c>
      <c r="AL14" s="136" t="s">
        <v>1073</v>
      </c>
      <c r="AM14" s="136" t="s">
        <v>1073</v>
      </c>
      <c r="AN14" s="136" t="s">
        <v>1073</v>
      </c>
      <c r="AO14" s="136" t="s">
        <v>1073</v>
      </c>
      <c r="AP14" s="136" t="s">
        <v>1073</v>
      </c>
      <c r="AQ14" s="136" t="s">
        <v>1073</v>
      </c>
      <c r="AR14" s="136" t="s">
        <v>1073</v>
      </c>
      <c r="AS14" s="136" t="s">
        <v>1073</v>
      </c>
      <c r="AT14" s="136" t="s">
        <v>1073</v>
      </c>
      <c r="AU14" s="136" t="s">
        <v>1073</v>
      </c>
      <c r="AV14" s="136" t="s">
        <v>1073</v>
      </c>
      <c r="AW14" s="136" t="s">
        <v>1073</v>
      </c>
      <c r="AX14" s="136" t="s">
        <v>1073</v>
      </c>
      <c r="AY14" s="136" t="s">
        <v>1073</v>
      </c>
      <c r="AZ14" s="136" t="s">
        <v>1073</v>
      </c>
      <c r="BA14" s="136" t="s">
        <v>1073</v>
      </c>
      <c r="BB14" s="136" t="s">
        <v>1073</v>
      </c>
      <c r="BC14" s="136" t="s">
        <v>1073</v>
      </c>
      <c r="BD14" s="136" t="s">
        <v>1073</v>
      </c>
      <c r="BE14" s="136" t="s">
        <v>1073</v>
      </c>
      <c r="BF14" s="136" t="s">
        <v>1073</v>
      </c>
      <c r="BG14" s="136" t="s">
        <v>1073</v>
      </c>
      <c r="BH14" s="136" t="s">
        <v>1073</v>
      </c>
      <c r="BI14" s="136" t="s">
        <v>1073</v>
      </c>
      <c r="BJ14" s="136" t="s">
        <v>1073</v>
      </c>
      <c r="BK14" s="136" t="s">
        <v>1073</v>
      </c>
      <c r="BL14" s="136" t="s">
        <v>1073</v>
      </c>
      <c r="BM14" s="136" t="s">
        <v>1073</v>
      </c>
      <c r="BN14" s="136" t="s">
        <v>1073</v>
      </c>
      <c r="BO14" s="136" t="s">
        <v>1073</v>
      </c>
      <c r="BP14" s="136" t="s">
        <v>1073</v>
      </c>
      <c r="BQ14" s="136" t="s">
        <v>1073</v>
      </c>
      <c r="BR14" s="136" t="s">
        <v>1073</v>
      </c>
      <c r="BS14" s="136" t="s">
        <v>1073</v>
      </c>
      <c r="BT14" s="136" t="s">
        <v>1073</v>
      </c>
      <c r="BU14" s="136" t="s">
        <v>1073</v>
      </c>
      <c r="BV14" s="136" t="s">
        <v>1073</v>
      </c>
      <c r="BW14" s="136" t="s">
        <v>1073</v>
      </c>
      <c r="BX14" s="136" t="s">
        <v>1073</v>
      </c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</row>
    <row r="15" spans="1:105" ht="15">
      <c r="A15" s="135" t="s">
        <v>459</v>
      </c>
      <c r="B15" s="136" t="s">
        <v>1073</v>
      </c>
      <c r="C15" s="136" t="s">
        <v>1073</v>
      </c>
      <c r="D15" s="136" t="s">
        <v>1073</v>
      </c>
      <c r="E15" s="136" t="s">
        <v>1073</v>
      </c>
      <c r="F15" s="136" t="s">
        <v>1073</v>
      </c>
      <c r="G15" s="136" t="s">
        <v>1073</v>
      </c>
      <c r="H15" s="136" t="s">
        <v>1073</v>
      </c>
      <c r="I15" s="136" t="s">
        <v>1073</v>
      </c>
      <c r="J15" s="136" t="s">
        <v>1073</v>
      </c>
      <c r="K15" s="136" t="s">
        <v>1073</v>
      </c>
      <c r="L15" s="136" t="s">
        <v>1073</v>
      </c>
      <c r="M15" s="136" t="s">
        <v>1073</v>
      </c>
      <c r="N15" s="136" t="s">
        <v>1073</v>
      </c>
      <c r="O15" s="136" t="s">
        <v>1073</v>
      </c>
      <c r="P15" s="136" t="s">
        <v>1073</v>
      </c>
      <c r="Q15" s="136" t="s">
        <v>1073</v>
      </c>
      <c r="R15" s="136" t="s">
        <v>1073</v>
      </c>
      <c r="S15" s="136" t="s">
        <v>1073</v>
      </c>
      <c r="T15" s="136" t="s">
        <v>1073</v>
      </c>
      <c r="U15" s="136" t="s">
        <v>1073</v>
      </c>
      <c r="V15" s="136" t="s">
        <v>1073</v>
      </c>
      <c r="W15" s="136" t="s">
        <v>1073</v>
      </c>
      <c r="X15" s="136" t="s">
        <v>1073</v>
      </c>
      <c r="Y15" s="136" t="s">
        <v>1073</v>
      </c>
      <c r="Z15" s="136" t="s">
        <v>1073</v>
      </c>
      <c r="AA15" s="136" t="s">
        <v>1073</v>
      </c>
      <c r="AB15" s="136" t="s">
        <v>1073</v>
      </c>
      <c r="AC15" s="136" t="s">
        <v>1073</v>
      </c>
      <c r="AD15" s="136" t="s">
        <v>1073</v>
      </c>
      <c r="AE15" s="136" t="s">
        <v>1073</v>
      </c>
      <c r="AF15" s="136" t="s">
        <v>1073</v>
      </c>
      <c r="AG15" s="136" t="s">
        <v>1073</v>
      </c>
      <c r="AH15" s="136" t="s">
        <v>1073</v>
      </c>
      <c r="AI15" s="136" t="s">
        <v>1073</v>
      </c>
      <c r="AJ15" s="136" t="s">
        <v>1073</v>
      </c>
      <c r="AK15" s="136" t="s">
        <v>1073</v>
      </c>
      <c r="AL15" s="136" t="s">
        <v>1073</v>
      </c>
      <c r="AM15" s="136" t="s">
        <v>1073</v>
      </c>
      <c r="AN15" s="136" t="s">
        <v>1073</v>
      </c>
      <c r="AO15" s="136" t="s">
        <v>1073</v>
      </c>
      <c r="AP15" s="136" t="s">
        <v>1073</v>
      </c>
      <c r="AQ15" s="136" t="s">
        <v>1073</v>
      </c>
      <c r="AR15" s="136" t="s">
        <v>1073</v>
      </c>
      <c r="AS15" s="136" t="s">
        <v>1073</v>
      </c>
      <c r="AT15" s="136" t="s">
        <v>1073</v>
      </c>
      <c r="AU15" s="136" t="s">
        <v>1073</v>
      </c>
      <c r="AV15" s="136" t="s">
        <v>1073</v>
      </c>
      <c r="AW15" s="136" t="s">
        <v>1073</v>
      </c>
      <c r="AX15" s="136" t="s">
        <v>1073</v>
      </c>
      <c r="AY15" s="136" t="s">
        <v>1073</v>
      </c>
      <c r="AZ15" s="136" t="s">
        <v>1073</v>
      </c>
      <c r="BA15" s="136" t="s">
        <v>1073</v>
      </c>
      <c r="BB15" s="136" t="s">
        <v>1073</v>
      </c>
      <c r="BC15" s="136" t="s">
        <v>1073</v>
      </c>
      <c r="BD15" s="136" t="s">
        <v>1073</v>
      </c>
      <c r="BE15" s="136" t="s">
        <v>1073</v>
      </c>
      <c r="BF15" s="136" t="s">
        <v>1073</v>
      </c>
      <c r="BG15" s="136" t="s">
        <v>1073</v>
      </c>
      <c r="BH15" s="136" t="s">
        <v>1073</v>
      </c>
      <c r="BI15" s="136" t="s">
        <v>1073</v>
      </c>
      <c r="BJ15" s="136" t="s">
        <v>1073</v>
      </c>
      <c r="BK15" s="136" t="s">
        <v>1073</v>
      </c>
      <c r="BL15" s="136" t="s">
        <v>1073</v>
      </c>
      <c r="BM15" s="136" t="s">
        <v>1073</v>
      </c>
      <c r="BN15" s="136" t="s">
        <v>1073</v>
      </c>
      <c r="BO15" s="136" t="s">
        <v>1073</v>
      </c>
      <c r="BP15" s="136" t="s">
        <v>1073</v>
      </c>
      <c r="BQ15" s="136" t="s">
        <v>1073</v>
      </c>
      <c r="BR15" s="136" t="s">
        <v>1073</v>
      </c>
      <c r="BS15" s="136" t="s">
        <v>1073</v>
      </c>
      <c r="BT15" s="136" t="s">
        <v>1073</v>
      </c>
      <c r="BU15" s="136" t="s">
        <v>1073</v>
      </c>
      <c r="BV15" s="136" t="s">
        <v>1073</v>
      </c>
      <c r="BW15" s="136" t="s">
        <v>1073</v>
      </c>
      <c r="BX15" s="136" t="s">
        <v>1073</v>
      </c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129" t="s">
        <v>1073</v>
      </c>
      <c r="CJ15" s="129" t="s">
        <v>1073</v>
      </c>
      <c r="CK15" s="129" t="s">
        <v>1073</v>
      </c>
      <c r="CL15" s="129" t="s">
        <v>1073</v>
      </c>
      <c r="CM15" s="129" t="s">
        <v>1073</v>
      </c>
      <c r="CN15" s="129" t="s">
        <v>1073</v>
      </c>
      <c r="CO15" s="129" t="s">
        <v>1073</v>
      </c>
      <c r="CP15" s="129" t="s">
        <v>1073</v>
      </c>
      <c r="CQ15" s="129" t="s">
        <v>1073</v>
      </c>
      <c r="CR15" s="129" t="s">
        <v>1073</v>
      </c>
      <c r="CS15" s="129" t="s">
        <v>1073</v>
      </c>
      <c r="CT15" s="129" t="s">
        <v>1073</v>
      </c>
      <c r="CU15" s="129" t="s">
        <v>1073</v>
      </c>
      <c r="CV15" s="129" t="s">
        <v>1073</v>
      </c>
      <c r="CW15" s="129" t="s">
        <v>1073</v>
      </c>
      <c r="CX15" s="129" t="s">
        <v>1073</v>
      </c>
      <c r="CY15" s="129" t="s">
        <v>1073</v>
      </c>
      <c r="CZ15" s="129" t="s">
        <v>1073</v>
      </c>
      <c r="DA15" s="129" t="s">
        <v>1073</v>
      </c>
    </row>
    <row r="16" spans="1:105" ht="14.25">
      <c r="A16" s="133" t="s">
        <v>1073</v>
      </c>
      <c r="B16" s="134" t="s">
        <v>974</v>
      </c>
      <c r="C16" s="134" t="s">
        <v>974</v>
      </c>
      <c r="D16" s="134" t="s">
        <v>974</v>
      </c>
      <c r="E16" s="134" t="s">
        <v>974</v>
      </c>
      <c r="F16" s="134" t="s">
        <v>974</v>
      </c>
      <c r="G16" s="134" t="s">
        <v>974</v>
      </c>
      <c r="H16" s="134" t="s">
        <v>974</v>
      </c>
      <c r="I16" s="134" t="s">
        <v>974</v>
      </c>
      <c r="J16" s="134" t="s">
        <v>974</v>
      </c>
      <c r="K16" s="134" t="s">
        <v>974</v>
      </c>
      <c r="L16" s="134" t="s">
        <v>974</v>
      </c>
      <c r="M16" s="134" t="s">
        <v>974</v>
      </c>
      <c r="N16" s="134" t="s">
        <v>974</v>
      </c>
      <c r="O16" s="134" t="s">
        <v>974</v>
      </c>
      <c r="P16" s="134" t="s">
        <v>974</v>
      </c>
      <c r="Q16" s="134" t="s">
        <v>974</v>
      </c>
      <c r="R16" s="134" t="s">
        <v>974</v>
      </c>
      <c r="S16" s="134" t="s">
        <v>974</v>
      </c>
      <c r="T16" s="134" t="s">
        <v>974</v>
      </c>
      <c r="U16" s="134" t="s">
        <v>974</v>
      </c>
      <c r="V16" s="134" t="s">
        <v>974</v>
      </c>
      <c r="W16" s="134" t="s">
        <v>974</v>
      </c>
      <c r="X16" s="134" t="s">
        <v>974</v>
      </c>
      <c r="Y16" s="134" t="s">
        <v>974</v>
      </c>
      <c r="Z16" s="134" t="s">
        <v>974</v>
      </c>
      <c r="AA16" s="134" t="s">
        <v>975</v>
      </c>
      <c r="AB16" s="134" t="s">
        <v>975</v>
      </c>
      <c r="AC16" s="134" t="s">
        <v>975</v>
      </c>
      <c r="AD16" s="134" t="s">
        <v>975</v>
      </c>
      <c r="AE16" s="134" t="s">
        <v>975</v>
      </c>
      <c r="AF16" s="134" t="s">
        <v>975</v>
      </c>
      <c r="AG16" s="134" t="s">
        <v>975</v>
      </c>
      <c r="AH16" s="134" t="s">
        <v>975</v>
      </c>
      <c r="AI16" s="134" t="s">
        <v>975</v>
      </c>
      <c r="AJ16" s="134" t="s">
        <v>975</v>
      </c>
      <c r="AK16" s="134" t="s">
        <v>975</v>
      </c>
      <c r="AL16" s="134" t="s">
        <v>975</v>
      </c>
      <c r="AM16" s="134" t="s">
        <v>975</v>
      </c>
      <c r="AN16" s="134" t="s">
        <v>975</v>
      </c>
      <c r="AO16" s="134" t="s">
        <v>975</v>
      </c>
      <c r="AP16" s="134" t="s">
        <v>975</v>
      </c>
      <c r="AQ16" s="134" t="s">
        <v>975</v>
      </c>
      <c r="AR16" s="134" t="s">
        <v>975</v>
      </c>
      <c r="AS16" s="134" t="s">
        <v>975</v>
      </c>
      <c r="AT16" s="134" t="s">
        <v>975</v>
      </c>
      <c r="AU16" s="134" t="s">
        <v>975</v>
      </c>
      <c r="AV16" s="134" t="s">
        <v>975</v>
      </c>
      <c r="AW16" s="134" t="s">
        <v>975</v>
      </c>
      <c r="AX16" s="134" t="s">
        <v>975</v>
      </c>
      <c r="AY16" s="134" t="s">
        <v>975</v>
      </c>
      <c r="AZ16" s="134" t="s">
        <v>975</v>
      </c>
      <c r="BA16" s="134" t="s">
        <v>975</v>
      </c>
      <c r="BB16" s="134" t="s">
        <v>975</v>
      </c>
      <c r="BC16" s="134" t="s">
        <v>975</v>
      </c>
      <c r="BD16" s="134" t="s">
        <v>975</v>
      </c>
      <c r="BE16" s="134" t="s">
        <v>975</v>
      </c>
      <c r="BF16" s="134" t="s">
        <v>975</v>
      </c>
      <c r="BG16" s="134" t="s">
        <v>975</v>
      </c>
      <c r="BH16" s="134" t="s">
        <v>975</v>
      </c>
      <c r="BI16" s="134" t="s">
        <v>975</v>
      </c>
      <c r="BJ16" s="134" t="s">
        <v>975</v>
      </c>
      <c r="BK16" s="134" t="s">
        <v>975</v>
      </c>
      <c r="BL16" s="134" t="s">
        <v>975</v>
      </c>
      <c r="BM16" s="134" t="s">
        <v>975</v>
      </c>
      <c r="BN16" s="134" t="s">
        <v>975</v>
      </c>
      <c r="BO16" s="134" t="s">
        <v>975</v>
      </c>
      <c r="BP16" s="134" t="s">
        <v>975</v>
      </c>
      <c r="BQ16" s="134" t="s">
        <v>975</v>
      </c>
      <c r="BR16" s="134" t="s">
        <v>975</v>
      </c>
      <c r="BS16" s="134" t="s">
        <v>975</v>
      </c>
      <c r="BT16" s="134" t="s">
        <v>975</v>
      </c>
      <c r="BU16" s="134" t="s">
        <v>975</v>
      </c>
      <c r="BV16" s="134" t="s">
        <v>975</v>
      </c>
      <c r="BW16" s="134" t="s">
        <v>975</v>
      </c>
      <c r="BX16" s="134" t="s">
        <v>975</v>
      </c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29" t="s">
        <v>1073</v>
      </c>
      <c r="CJ16" s="129" t="s">
        <v>1073</v>
      </c>
      <c r="CK16" s="129" t="s">
        <v>1073</v>
      </c>
      <c r="CL16" s="129" t="s">
        <v>1073</v>
      </c>
      <c r="CM16" s="129" t="s">
        <v>1073</v>
      </c>
      <c r="CN16" s="129" t="s">
        <v>1073</v>
      </c>
      <c r="CO16" s="129" t="s">
        <v>1073</v>
      </c>
      <c r="CP16" s="129" t="s">
        <v>1073</v>
      </c>
      <c r="CQ16" s="129" t="s">
        <v>1073</v>
      </c>
      <c r="CR16" s="129" t="s">
        <v>1073</v>
      </c>
      <c r="CS16" s="129" t="s">
        <v>1073</v>
      </c>
      <c r="CT16" s="129" t="s">
        <v>1073</v>
      </c>
      <c r="CU16" s="129" t="s">
        <v>1073</v>
      </c>
      <c r="CV16" s="129" t="s">
        <v>1073</v>
      </c>
      <c r="CW16" s="129" t="s">
        <v>1073</v>
      </c>
      <c r="CX16" s="129" t="s">
        <v>1073</v>
      </c>
      <c r="CY16" s="129" t="s">
        <v>1073</v>
      </c>
      <c r="CZ16" s="129" t="s">
        <v>1073</v>
      </c>
      <c r="DA16" s="129" t="s">
        <v>1073</v>
      </c>
    </row>
    <row r="17" spans="1:105" ht="14.25">
      <c r="A17" s="133" t="s">
        <v>1073</v>
      </c>
      <c r="B17" s="134" t="s">
        <v>1222</v>
      </c>
      <c r="C17" s="134" t="s">
        <v>1222</v>
      </c>
      <c r="D17" s="134" t="s">
        <v>1222</v>
      </c>
      <c r="E17" s="134" t="s">
        <v>1222</v>
      </c>
      <c r="F17" s="134" t="s">
        <v>1222</v>
      </c>
      <c r="G17" s="134" t="s">
        <v>1222</v>
      </c>
      <c r="H17" s="134" t="s">
        <v>1222</v>
      </c>
      <c r="I17" s="134" t="s">
        <v>1222</v>
      </c>
      <c r="J17" s="134" t="s">
        <v>1222</v>
      </c>
      <c r="K17" s="134" t="s">
        <v>1222</v>
      </c>
      <c r="L17" s="134" t="s">
        <v>1222</v>
      </c>
      <c r="M17" s="134" t="s">
        <v>1222</v>
      </c>
      <c r="N17" s="134" t="s">
        <v>1222</v>
      </c>
      <c r="O17" s="134" t="s">
        <v>1222</v>
      </c>
      <c r="P17" s="134" t="s">
        <v>1222</v>
      </c>
      <c r="Q17" s="134" t="s">
        <v>1222</v>
      </c>
      <c r="R17" s="134" t="s">
        <v>1222</v>
      </c>
      <c r="S17" s="134" t="s">
        <v>1222</v>
      </c>
      <c r="T17" s="134" t="s">
        <v>1222</v>
      </c>
      <c r="U17" s="134" t="s">
        <v>1222</v>
      </c>
      <c r="V17" s="134" t="s">
        <v>1222</v>
      </c>
      <c r="W17" s="134" t="s">
        <v>1222</v>
      </c>
      <c r="X17" s="134" t="s">
        <v>1222</v>
      </c>
      <c r="Y17" s="134" t="s">
        <v>1222</v>
      </c>
      <c r="Z17" s="134" t="s">
        <v>1222</v>
      </c>
      <c r="AA17" s="134" t="s">
        <v>1222</v>
      </c>
      <c r="AB17" s="134" t="s">
        <v>1222</v>
      </c>
      <c r="AC17" s="134" t="s">
        <v>1222</v>
      </c>
      <c r="AD17" s="134" t="s">
        <v>1222</v>
      </c>
      <c r="AE17" s="134" t="s">
        <v>1222</v>
      </c>
      <c r="AF17" s="134" t="s">
        <v>1222</v>
      </c>
      <c r="AG17" s="134" t="s">
        <v>1222</v>
      </c>
      <c r="AH17" s="134" t="s">
        <v>1222</v>
      </c>
      <c r="AI17" s="134" t="s">
        <v>1222</v>
      </c>
      <c r="AJ17" s="134" t="s">
        <v>1222</v>
      </c>
      <c r="AK17" s="134" t="s">
        <v>1222</v>
      </c>
      <c r="AL17" s="134" t="s">
        <v>1222</v>
      </c>
      <c r="AM17" s="134" t="s">
        <v>1222</v>
      </c>
      <c r="AN17" s="134" t="s">
        <v>1222</v>
      </c>
      <c r="AO17" s="134" t="s">
        <v>1222</v>
      </c>
      <c r="AP17" s="134" t="s">
        <v>1222</v>
      </c>
      <c r="AQ17" s="134" t="s">
        <v>1222</v>
      </c>
      <c r="AR17" s="134" t="s">
        <v>1222</v>
      </c>
      <c r="AS17" s="134" t="s">
        <v>1222</v>
      </c>
      <c r="AT17" s="134" t="s">
        <v>1222</v>
      </c>
      <c r="AU17" s="134" t="s">
        <v>1222</v>
      </c>
      <c r="AV17" s="134" t="s">
        <v>1222</v>
      </c>
      <c r="AW17" s="134" t="s">
        <v>1222</v>
      </c>
      <c r="AX17" s="134" t="s">
        <v>1222</v>
      </c>
      <c r="AY17" s="134" t="s">
        <v>1222</v>
      </c>
      <c r="AZ17" s="134" t="s">
        <v>1222</v>
      </c>
      <c r="BA17" s="134" t="s">
        <v>1222</v>
      </c>
      <c r="BB17" s="134" t="s">
        <v>1222</v>
      </c>
      <c r="BC17" s="134" t="s">
        <v>1222</v>
      </c>
      <c r="BD17" s="134" t="s">
        <v>1222</v>
      </c>
      <c r="BE17" s="134" t="s">
        <v>1222</v>
      </c>
      <c r="BF17" s="134" t="s">
        <v>1222</v>
      </c>
      <c r="BG17" s="134" t="s">
        <v>1222</v>
      </c>
      <c r="BH17" s="134" t="s">
        <v>1222</v>
      </c>
      <c r="BI17" s="134" t="s">
        <v>1222</v>
      </c>
      <c r="BJ17" s="134" t="s">
        <v>1222</v>
      </c>
      <c r="BK17" s="134" t="s">
        <v>1222</v>
      </c>
      <c r="BL17" s="134" t="s">
        <v>1222</v>
      </c>
      <c r="BM17" s="134" t="s">
        <v>1222</v>
      </c>
      <c r="BN17" s="134" t="s">
        <v>1222</v>
      </c>
      <c r="BO17" s="134" t="s">
        <v>1222</v>
      </c>
      <c r="BP17" s="134" t="s">
        <v>1222</v>
      </c>
      <c r="BQ17" s="134" t="s">
        <v>1222</v>
      </c>
      <c r="BR17" s="134" t="s">
        <v>1222</v>
      </c>
      <c r="BS17" s="134" t="s">
        <v>1222</v>
      </c>
      <c r="BT17" s="134" t="s">
        <v>1222</v>
      </c>
      <c r="BU17" s="134" t="s">
        <v>1222</v>
      </c>
      <c r="BV17" s="134" t="s">
        <v>1222</v>
      </c>
      <c r="BW17" s="134" t="s">
        <v>1222</v>
      </c>
      <c r="BX17" s="134" t="s">
        <v>1222</v>
      </c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29" t="s">
        <v>1073</v>
      </c>
      <c r="CJ17" s="129" t="s">
        <v>1073</v>
      </c>
      <c r="CK17" s="129" t="s">
        <v>1073</v>
      </c>
      <c r="CL17" s="129" t="s">
        <v>1073</v>
      </c>
      <c r="CM17" s="129" t="s">
        <v>1073</v>
      </c>
      <c r="CN17" s="129" t="s">
        <v>1073</v>
      </c>
      <c r="CO17" s="129" t="s">
        <v>1073</v>
      </c>
      <c r="CP17" s="129" t="s">
        <v>1073</v>
      </c>
      <c r="CQ17" s="129" t="s">
        <v>1073</v>
      </c>
      <c r="CR17" s="129" t="s">
        <v>1073</v>
      </c>
      <c r="CS17" s="129" t="s">
        <v>1073</v>
      </c>
      <c r="CT17" s="129" t="s">
        <v>1073</v>
      </c>
      <c r="CU17" s="129" t="s">
        <v>1073</v>
      </c>
      <c r="CV17" s="129" t="s">
        <v>1073</v>
      </c>
      <c r="CW17" s="129" t="s">
        <v>1073</v>
      </c>
      <c r="CX17" s="129" t="s">
        <v>1073</v>
      </c>
      <c r="CY17" s="129" t="s">
        <v>1073</v>
      </c>
      <c r="CZ17" s="129" t="s">
        <v>1073</v>
      </c>
      <c r="DA17" s="129" t="s">
        <v>1073</v>
      </c>
    </row>
    <row r="18" spans="1:105" ht="14.25">
      <c r="A18" s="133" t="s">
        <v>1073</v>
      </c>
      <c r="B18" s="134" t="s">
        <v>1223</v>
      </c>
      <c r="C18" s="134" t="s">
        <v>1223</v>
      </c>
      <c r="D18" s="134" t="s">
        <v>1223</v>
      </c>
      <c r="E18" s="134" t="s">
        <v>1223</v>
      </c>
      <c r="F18" s="134" t="s">
        <v>1223</v>
      </c>
      <c r="G18" s="134" t="s">
        <v>1223</v>
      </c>
      <c r="H18" s="134" t="s">
        <v>1223</v>
      </c>
      <c r="I18" s="134" t="s">
        <v>1223</v>
      </c>
      <c r="J18" s="134" t="s">
        <v>1223</v>
      </c>
      <c r="K18" s="134" t="s">
        <v>1223</v>
      </c>
      <c r="L18" s="134" t="s">
        <v>1223</v>
      </c>
      <c r="M18" s="134" t="s">
        <v>1223</v>
      </c>
      <c r="N18" s="134" t="s">
        <v>1223</v>
      </c>
      <c r="O18" s="134" t="s">
        <v>1223</v>
      </c>
      <c r="P18" s="134" t="s">
        <v>1223</v>
      </c>
      <c r="Q18" s="134" t="s">
        <v>1223</v>
      </c>
      <c r="R18" s="134" t="s">
        <v>1223</v>
      </c>
      <c r="S18" s="134" t="s">
        <v>1223</v>
      </c>
      <c r="T18" s="134" t="s">
        <v>1223</v>
      </c>
      <c r="U18" s="134" t="s">
        <v>1223</v>
      </c>
      <c r="V18" s="134" t="s">
        <v>1223</v>
      </c>
      <c r="W18" s="134" t="s">
        <v>1223</v>
      </c>
      <c r="X18" s="134" t="s">
        <v>1223</v>
      </c>
      <c r="Y18" s="134" t="s">
        <v>1223</v>
      </c>
      <c r="Z18" s="134" t="s">
        <v>1223</v>
      </c>
      <c r="AA18" s="134" t="s">
        <v>1223</v>
      </c>
      <c r="AB18" s="134" t="s">
        <v>1223</v>
      </c>
      <c r="AC18" s="134" t="s">
        <v>1223</v>
      </c>
      <c r="AD18" s="134" t="s">
        <v>1223</v>
      </c>
      <c r="AE18" s="134" t="s">
        <v>1223</v>
      </c>
      <c r="AF18" s="134" t="s">
        <v>1223</v>
      </c>
      <c r="AG18" s="134" t="s">
        <v>1223</v>
      </c>
      <c r="AH18" s="134" t="s">
        <v>1223</v>
      </c>
      <c r="AI18" s="134" t="s">
        <v>1223</v>
      </c>
      <c r="AJ18" s="134" t="s">
        <v>1223</v>
      </c>
      <c r="AK18" s="134" t="s">
        <v>1223</v>
      </c>
      <c r="AL18" s="134" t="s">
        <v>1223</v>
      </c>
      <c r="AM18" s="134" t="s">
        <v>1223</v>
      </c>
      <c r="AN18" s="134" t="s">
        <v>1223</v>
      </c>
      <c r="AO18" s="134" t="s">
        <v>1223</v>
      </c>
      <c r="AP18" s="134" t="s">
        <v>1223</v>
      </c>
      <c r="AQ18" s="134" t="s">
        <v>1223</v>
      </c>
      <c r="AR18" s="134" t="s">
        <v>1223</v>
      </c>
      <c r="AS18" s="134" t="s">
        <v>1223</v>
      </c>
      <c r="AT18" s="134" t="s">
        <v>1223</v>
      </c>
      <c r="AU18" s="134" t="s">
        <v>1223</v>
      </c>
      <c r="AV18" s="134" t="s">
        <v>1223</v>
      </c>
      <c r="AW18" s="134" t="s">
        <v>1223</v>
      </c>
      <c r="AX18" s="134" t="s">
        <v>1223</v>
      </c>
      <c r="AY18" s="134" t="s">
        <v>1223</v>
      </c>
      <c r="AZ18" s="134" t="s">
        <v>1223</v>
      </c>
      <c r="BA18" s="134" t="s">
        <v>1223</v>
      </c>
      <c r="BB18" s="134" t="s">
        <v>1223</v>
      </c>
      <c r="BC18" s="134" t="s">
        <v>1223</v>
      </c>
      <c r="BD18" s="134" t="s">
        <v>1223</v>
      </c>
      <c r="BE18" s="134" t="s">
        <v>1223</v>
      </c>
      <c r="BF18" s="134" t="s">
        <v>1223</v>
      </c>
      <c r="BG18" s="134" t="s">
        <v>1223</v>
      </c>
      <c r="BH18" s="134" t="s">
        <v>1223</v>
      </c>
      <c r="BI18" s="134" t="s">
        <v>1223</v>
      </c>
      <c r="BJ18" s="134" t="s">
        <v>1223</v>
      </c>
      <c r="BK18" s="134" t="s">
        <v>1223</v>
      </c>
      <c r="BL18" s="134" t="s">
        <v>1223</v>
      </c>
      <c r="BM18" s="134" t="s">
        <v>1223</v>
      </c>
      <c r="BN18" s="134" t="s">
        <v>1223</v>
      </c>
      <c r="BO18" s="134" t="s">
        <v>1223</v>
      </c>
      <c r="BP18" s="134" t="s">
        <v>1223</v>
      </c>
      <c r="BQ18" s="134" t="s">
        <v>1223</v>
      </c>
      <c r="BR18" s="134" t="s">
        <v>1223</v>
      </c>
      <c r="BS18" s="134" t="s">
        <v>1223</v>
      </c>
      <c r="BT18" s="134" t="s">
        <v>1223</v>
      </c>
      <c r="BU18" s="134" t="s">
        <v>1223</v>
      </c>
      <c r="BV18" s="134" t="s">
        <v>1223</v>
      </c>
      <c r="BW18" s="134" t="s">
        <v>1223</v>
      </c>
      <c r="BX18" s="134" t="s">
        <v>1223</v>
      </c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29" t="s">
        <v>1073</v>
      </c>
      <c r="CJ18" s="129" t="s">
        <v>1073</v>
      </c>
      <c r="CK18" s="129" t="s">
        <v>1073</v>
      </c>
      <c r="CL18" s="129" t="s">
        <v>1073</v>
      </c>
      <c r="CM18" s="129" t="s">
        <v>1073</v>
      </c>
      <c r="CN18" s="129" t="s">
        <v>1073</v>
      </c>
      <c r="CO18" s="129" t="s">
        <v>1073</v>
      </c>
      <c r="CP18" s="129" t="s">
        <v>1073</v>
      </c>
      <c r="CQ18" s="129" t="s">
        <v>1073</v>
      </c>
      <c r="CR18" s="129" t="s">
        <v>1073</v>
      </c>
      <c r="CS18" s="129" t="s">
        <v>1073</v>
      </c>
      <c r="CT18" s="129" t="s">
        <v>1073</v>
      </c>
      <c r="CU18" s="129" t="s">
        <v>1073</v>
      </c>
      <c r="CV18" s="129" t="s">
        <v>1073</v>
      </c>
      <c r="CW18" s="129" t="s">
        <v>1073</v>
      </c>
      <c r="CX18" s="129" t="s">
        <v>1073</v>
      </c>
      <c r="CY18" s="129" t="s">
        <v>1073</v>
      </c>
      <c r="CZ18" s="129" t="s">
        <v>1073</v>
      </c>
      <c r="DA18" s="129" t="s">
        <v>1073</v>
      </c>
    </row>
    <row r="19" spans="1:105" ht="15">
      <c r="A19" s="135" t="s">
        <v>460</v>
      </c>
      <c r="B19" s="136" t="s">
        <v>1073</v>
      </c>
      <c r="C19" s="136" t="s">
        <v>1073</v>
      </c>
      <c r="D19" s="136" t="s">
        <v>1073</v>
      </c>
      <c r="E19" s="136" t="s">
        <v>1073</v>
      </c>
      <c r="F19" s="136" t="s">
        <v>1073</v>
      </c>
      <c r="G19" s="136" t="s">
        <v>1073</v>
      </c>
      <c r="H19" s="136" t="s">
        <v>1073</v>
      </c>
      <c r="I19" s="136" t="s">
        <v>1073</v>
      </c>
      <c r="J19" s="136" t="s">
        <v>1073</v>
      </c>
      <c r="K19" s="136" t="s">
        <v>1073</v>
      </c>
      <c r="L19" s="136" t="s">
        <v>1073</v>
      </c>
      <c r="M19" s="136" t="s">
        <v>1073</v>
      </c>
      <c r="N19" s="136" t="s">
        <v>1073</v>
      </c>
      <c r="O19" s="136" t="s">
        <v>1073</v>
      </c>
      <c r="P19" s="136" t="s">
        <v>1073</v>
      </c>
      <c r="Q19" s="136" t="s">
        <v>1073</v>
      </c>
      <c r="R19" s="136" t="s">
        <v>1073</v>
      </c>
      <c r="S19" s="136" t="s">
        <v>1073</v>
      </c>
      <c r="T19" s="136" t="s">
        <v>1073</v>
      </c>
      <c r="U19" s="136" t="s">
        <v>1073</v>
      </c>
      <c r="V19" s="136" t="s">
        <v>1073</v>
      </c>
      <c r="W19" s="136" t="s">
        <v>1073</v>
      </c>
      <c r="X19" s="136" t="s">
        <v>1073</v>
      </c>
      <c r="Y19" s="136" t="s">
        <v>1073</v>
      </c>
      <c r="Z19" s="136" t="s">
        <v>1073</v>
      </c>
      <c r="AA19" s="134" t="s">
        <v>461</v>
      </c>
      <c r="AB19" s="136" t="s">
        <v>1073</v>
      </c>
      <c r="AC19" s="136" t="s">
        <v>1073</v>
      </c>
      <c r="AD19" s="212" t="s">
        <v>902</v>
      </c>
      <c r="AE19" s="212" t="s">
        <v>902</v>
      </c>
      <c r="AF19" s="212" t="s">
        <v>902</v>
      </c>
      <c r="AG19" s="212" t="s">
        <v>902</v>
      </c>
      <c r="AH19" s="212" t="s">
        <v>902</v>
      </c>
      <c r="AI19" s="212" t="s">
        <v>902</v>
      </c>
      <c r="AJ19" s="212" t="s">
        <v>902</v>
      </c>
      <c r="AK19" s="212" t="s">
        <v>902</v>
      </c>
      <c r="AL19" s="212" t="s">
        <v>902</v>
      </c>
      <c r="AM19" s="212" t="s">
        <v>902</v>
      </c>
      <c r="AN19" s="212" t="s">
        <v>902</v>
      </c>
      <c r="AO19" s="212" t="s">
        <v>902</v>
      </c>
      <c r="AP19" s="212" t="s">
        <v>902</v>
      </c>
      <c r="AQ19" s="212" t="s">
        <v>902</v>
      </c>
      <c r="AR19" s="212" t="s">
        <v>902</v>
      </c>
      <c r="AS19" s="212" t="s">
        <v>902</v>
      </c>
      <c r="AT19" s="212" t="s">
        <v>902</v>
      </c>
      <c r="AU19" s="212" t="s">
        <v>902</v>
      </c>
      <c r="AV19" s="212" t="s">
        <v>902</v>
      </c>
      <c r="AW19" s="212" t="s">
        <v>902</v>
      </c>
      <c r="AX19" s="212" t="s">
        <v>902</v>
      </c>
      <c r="AY19" s="212" t="s">
        <v>902</v>
      </c>
      <c r="AZ19" s="212" t="s">
        <v>902</v>
      </c>
      <c r="BA19" s="212" t="s">
        <v>902</v>
      </c>
      <c r="BB19" s="212" t="s">
        <v>902</v>
      </c>
      <c r="BC19" s="212" t="s">
        <v>902</v>
      </c>
      <c r="BD19" s="212" t="s">
        <v>902</v>
      </c>
      <c r="BE19" s="252" t="s">
        <v>1073</v>
      </c>
      <c r="BF19" s="212" t="s">
        <v>902</v>
      </c>
      <c r="BG19" s="252" t="s">
        <v>1073</v>
      </c>
      <c r="BH19" s="252" t="s">
        <v>1073</v>
      </c>
      <c r="BI19" s="212" t="s">
        <v>902</v>
      </c>
      <c r="BJ19" s="212" t="s">
        <v>902</v>
      </c>
      <c r="BK19" s="252" t="s">
        <v>1073</v>
      </c>
      <c r="BL19" s="252" t="s">
        <v>1073</v>
      </c>
      <c r="BM19" s="252" t="s">
        <v>1073</v>
      </c>
      <c r="BN19" s="252" t="s">
        <v>1073</v>
      </c>
      <c r="BO19" s="252" t="s">
        <v>1073</v>
      </c>
      <c r="BP19" s="212" t="s">
        <v>902</v>
      </c>
      <c r="BQ19" s="252" t="s">
        <v>1073</v>
      </c>
      <c r="BR19" s="252" t="s">
        <v>1073</v>
      </c>
      <c r="BS19" s="252" t="s">
        <v>1073</v>
      </c>
      <c r="BT19" s="252" t="s">
        <v>1073</v>
      </c>
      <c r="BU19" s="212" t="s">
        <v>902</v>
      </c>
      <c r="BV19" s="252" t="s">
        <v>1073</v>
      </c>
      <c r="BW19" s="252" t="s">
        <v>1073</v>
      </c>
      <c r="BX19" s="252" t="s">
        <v>1073</v>
      </c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129" t="s">
        <v>1073</v>
      </c>
      <c r="CJ19" s="129" t="s">
        <v>1073</v>
      </c>
      <c r="CK19" s="129" t="s">
        <v>1073</v>
      </c>
      <c r="CL19" s="129" t="s">
        <v>1073</v>
      </c>
      <c r="CM19" s="129" t="s">
        <v>1073</v>
      </c>
      <c r="CN19" s="129" t="s">
        <v>1073</v>
      </c>
      <c r="CO19" s="129" t="s">
        <v>1073</v>
      </c>
      <c r="CP19" s="129" t="s">
        <v>1073</v>
      </c>
      <c r="CQ19" s="129" t="s">
        <v>1073</v>
      </c>
      <c r="CR19" s="129" t="s">
        <v>1073</v>
      </c>
      <c r="CS19" s="129" t="s">
        <v>1073</v>
      </c>
      <c r="CT19" s="129" t="s">
        <v>1073</v>
      </c>
      <c r="CU19" s="129" t="s">
        <v>1073</v>
      </c>
      <c r="CV19" s="129" t="s">
        <v>1073</v>
      </c>
      <c r="CW19" s="129" t="s">
        <v>1073</v>
      </c>
      <c r="CX19" s="129" t="s">
        <v>1073</v>
      </c>
      <c r="CY19" s="129" t="s">
        <v>1073</v>
      </c>
      <c r="CZ19" s="129" t="s">
        <v>1073</v>
      </c>
      <c r="DA19" s="129" t="s">
        <v>1073</v>
      </c>
    </row>
    <row r="20" spans="1:105" ht="14.25">
      <c r="A20" s="133" t="s">
        <v>1073</v>
      </c>
      <c r="B20" s="136">
        <v>5</v>
      </c>
      <c r="C20" s="136">
        <v>5</v>
      </c>
      <c r="D20" s="136">
        <v>5</v>
      </c>
      <c r="E20" s="136">
        <v>5</v>
      </c>
      <c r="F20" s="136">
        <v>5</v>
      </c>
      <c r="G20" s="136">
        <v>5</v>
      </c>
      <c r="H20" s="136">
        <v>5</v>
      </c>
      <c r="I20" s="136">
        <v>5</v>
      </c>
      <c r="J20" s="136">
        <v>5</v>
      </c>
      <c r="K20" s="136">
        <v>5</v>
      </c>
      <c r="L20" s="136">
        <v>5</v>
      </c>
      <c r="M20" s="136">
        <v>5</v>
      </c>
      <c r="N20" s="136">
        <v>5</v>
      </c>
      <c r="O20" s="136">
        <v>5</v>
      </c>
      <c r="P20" s="136">
        <v>5</v>
      </c>
      <c r="Q20" s="136">
        <v>5</v>
      </c>
      <c r="R20" s="136">
        <v>5</v>
      </c>
      <c r="S20" s="136">
        <v>5</v>
      </c>
      <c r="T20" s="136">
        <v>5</v>
      </c>
      <c r="U20" s="136">
        <v>5</v>
      </c>
      <c r="V20" s="136">
        <v>5</v>
      </c>
      <c r="W20" s="136">
        <v>5</v>
      </c>
      <c r="X20" s="136">
        <v>5</v>
      </c>
      <c r="Y20" s="136">
        <v>5</v>
      </c>
      <c r="Z20" s="136">
        <v>5</v>
      </c>
      <c r="AA20" s="134">
        <v>9</v>
      </c>
      <c r="AB20" s="134">
        <v>5</v>
      </c>
      <c r="AC20" s="134">
        <v>5</v>
      </c>
      <c r="AD20" s="136" t="s">
        <v>1215</v>
      </c>
      <c r="AE20" s="136" t="s">
        <v>1215</v>
      </c>
      <c r="AF20" s="136" t="s">
        <v>1215</v>
      </c>
      <c r="AG20" s="136" t="s">
        <v>1215</v>
      </c>
      <c r="AH20" s="136" t="s">
        <v>1215</v>
      </c>
      <c r="AI20" s="136" t="s">
        <v>1215</v>
      </c>
      <c r="AJ20" s="136" t="s">
        <v>1215</v>
      </c>
      <c r="AK20" s="136" t="s">
        <v>1215</v>
      </c>
      <c r="AL20" s="136" t="s">
        <v>1215</v>
      </c>
      <c r="AM20" s="136" t="s">
        <v>1215</v>
      </c>
      <c r="AN20" s="136" t="s">
        <v>1215</v>
      </c>
      <c r="AO20" s="136" t="s">
        <v>1215</v>
      </c>
      <c r="AP20" s="136" t="s">
        <v>1215</v>
      </c>
      <c r="AQ20" s="136" t="s">
        <v>1215</v>
      </c>
      <c r="AR20" s="136" t="s">
        <v>1215</v>
      </c>
      <c r="AS20" s="136" t="s">
        <v>1215</v>
      </c>
      <c r="AT20" s="136" t="s">
        <v>1215</v>
      </c>
      <c r="AU20" s="136" t="s">
        <v>1215</v>
      </c>
      <c r="AV20" s="136" t="s">
        <v>1215</v>
      </c>
      <c r="AW20" s="136" t="s">
        <v>1215</v>
      </c>
      <c r="AX20" s="136" t="s">
        <v>1215</v>
      </c>
      <c r="AY20" s="136" t="s">
        <v>1215</v>
      </c>
      <c r="AZ20" s="136" t="s">
        <v>1215</v>
      </c>
      <c r="BA20" s="136" t="s">
        <v>1215</v>
      </c>
      <c r="BB20" s="136" t="s">
        <v>1215</v>
      </c>
      <c r="BC20" s="136" t="s">
        <v>1215</v>
      </c>
      <c r="BD20" s="136" t="s">
        <v>1215</v>
      </c>
      <c r="BE20" s="136" t="s">
        <v>1215</v>
      </c>
      <c r="BF20" s="136" t="s">
        <v>1215</v>
      </c>
      <c r="BG20" s="136" t="s">
        <v>1215</v>
      </c>
      <c r="BH20" s="136" t="s">
        <v>1215</v>
      </c>
      <c r="BI20" s="136" t="s">
        <v>1215</v>
      </c>
      <c r="BJ20" s="136" t="s">
        <v>1215</v>
      </c>
      <c r="BK20" s="136" t="s">
        <v>1215</v>
      </c>
      <c r="BL20" s="136" t="s">
        <v>1215</v>
      </c>
      <c r="BM20" s="136" t="s">
        <v>1215</v>
      </c>
      <c r="BN20" s="136" t="s">
        <v>1215</v>
      </c>
      <c r="BO20" s="136" t="s">
        <v>1215</v>
      </c>
      <c r="BP20" s="136" t="s">
        <v>1215</v>
      </c>
      <c r="BQ20" s="136" t="s">
        <v>1215</v>
      </c>
      <c r="BR20" s="136" t="s">
        <v>1215</v>
      </c>
      <c r="BS20" s="136" t="s">
        <v>1215</v>
      </c>
      <c r="BT20" s="136" t="s">
        <v>1215</v>
      </c>
      <c r="BU20" s="136" t="s">
        <v>1215</v>
      </c>
      <c r="BV20" s="136" t="s">
        <v>1215</v>
      </c>
      <c r="BW20" s="136" t="s">
        <v>1215</v>
      </c>
      <c r="BX20" s="136" t="s">
        <v>1215</v>
      </c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129" t="s">
        <v>1073</v>
      </c>
      <c r="CJ20" s="129" t="s">
        <v>1073</v>
      </c>
      <c r="CK20" s="129" t="s">
        <v>1073</v>
      </c>
      <c r="CL20" s="129" t="s">
        <v>1073</v>
      </c>
      <c r="CM20" s="129" t="s">
        <v>1073</v>
      </c>
      <c r="CN20" s="129" t="s">
        <v>1073</v>
      </c>
      <c r="CO20" s="129" t="s">
        <v>1073</v>
      </c>
      <c r="CP20" s="129" t="s">
        <v>1073</v>
      </c>
      <c r="CQ20" s="129" t="s">
        <v>1073</v>
      </c>
      <c r="CR20" s="129" t="s">
        <v>1073</v>
      </c>
      <c r="CS20" s="129" t="s">
        <v>1073</v>
      </c>
      <c r="CT20" s="129" t="s">
        <v>1073</v>
      </c>
      <c r="CU20" s="129" t="s">
        <v>1073</v>
      </c>
      <c r="CV20" s="129" t="s">
        <v>1073</v>
      </c>
      <c r="CW20" s="129" t="s">
        <v>1073</v>
      </c>
      <c r="CX20" s="129" t="s">
        <v>1073</v>
      </c>
      <c r="CY20" s="129" t="s">
        <v>1073</v>
      </c>
      <c r="CZ20" s="129" t="s">
        <v>1073</v>
      </c>
      <c r="DA20" s="129" t="s">
        <v>1073</v>
      </c>
    </row>
    <row r="21" spans="1:105" ht="15">
      <c r="A21" s="135" t="s">
        <v>1074</v>
      </c>
      <c r="B21" s="136" t="s">
        <v>1073</v>
      </c>
      <c r="C21" s="136" t="s">
        <v>1073</v>
      </c>
      <c r="D21" s="136" t="s">
        <v>1073</v>
      </c>
      <c r="E21" s="136" t="s">
        <v>1073</v>
      </c>
      <c r="F21" s="136" t="s">
        <v>1073</v>
      </c>
      <c r="G21" s="136" t="s">
        <v>1073</v>
      </c>
      <c r="H21" s="136" t="s">
        <v>1073</v>
      </c>
      <c r="I21" s="136" t="s">
        <v>1073</v>
      </c>
      <c r="J21" s="136" t="s">
        <v>1073</v>
      </c>
      <c r="K21" s="136" t="s">
        <v>1073</v>
      </c>
      <c r="L21" s="136" t="s">
        <v>1073</v>
      </c>
      <c r="M21" s="136" t="s">
        <v>1073</v>
      </c>
      <c r="N21" s="136" t="s">
        <v>1073</v>
      </c>
      <c r="O21" s="136" t="s">
        <v>1073</v>
      </c>
      <c r="P21" s="136" t="s">
        <v>1073</v>
      </c>
      <c r="Q21" s="136" t="s">
        <v>1073</v>
      </c>
      <c r="R21" s="136" t="s">
        <v>1073</v>
      </c>
      <c r="S21" s="136" t="s">
        <v>1073</v>
      </c>
      <c r="T21" s="136" t="s">
        <v>1073</v>
      </c>
      <c r="U21" s="136" t="s">
        <v>1073</v>
      </c>
      <c r="V21" s="136" t="s">
        <v>1073</v>
      </c>
      <c r="W21" s="136" t="s">
        <v>1073</v>
      </c>
      <c r="X21" s="136" t="s">
        <v>1073</v>
      </c>
      <c r="Y21" s="136" t="s">
        <v>1073</v>
      </c>
      <c r="Z21" s="136" t="s">
        <v>1073</v>
      </c>
      <c r="AA21" s="136" t="s">
        <v>1073</v>
      </c>
      <c r="AB21" s="136" t="s">
        <v>1073</v>
      </c>
      <c r="AC21" s="136" t="s">
        <v>1073</v>
      </c>
      <c r="AD21" s="136" t="s">
        <v>1073</v>
      </c>
      <c r="AE21" s="136" t="s">
        <v>1073</v>
      </c>
      <c r="AF21" s="136" t="s">
        <v>1073</v>
      </c>
      <c r="AG21" s="136" t="s">
        <v>1073</v>
      </c>
      <c r="AH21" s="136" t="s">
        <v>1073</v>
      </c>
      <c r="AI21" s="136" t="s">
        <v>1073</v>
      </c>
      <c r="AJ21" s="136" t="s">
        <v>1073</v>
      </c>
      <c r="AK21" s="136" t="s">
        <v>1073</v>
      </c>
      <c r="AL21" s="136" t="s">
        <v>1073</v>
      </c>
      <c r="AM21" s="136" t="s">
        <v>1073</v>
      </c>
      <c r="AN21" s="136" t="s">
        <v>1073</v>
      </c>
      <c r="AO21" s="136" t="s">
        <v>1073</v>
      </c>
      <c r="AP21" s="136" t="s">
        <v>1073</v>
      </c>
      <c r="AQ21" s="136" t="s">
        <v>1073</v>
      </c>
      <c r="AR21" s="136" t="s">
        <v>1073</v>
      </c>
      <c r="AS21" s="136" t="s">
        <v>1073</v>
      </c>
      <c r="AT21" s="136" t="s">
        <v>1073</v>
      </c>
      <c r="AU21" s="136" t="s">
        <v>1073</v>
      </c>
      <c r="AV21" s="136" t="s">
        <v>1073</v>
      </c>
      <c r="AW21" s="136" t="s">
        <v>1073</v>
      </c>
      <c r="AX21" s="136" t="s">
        <v>1073</v>
      </c>
      <c r="AY21" s="136" t="s">
        <v>1073</v>
      </c>
      <c r="AZ21" s="136" t="s">
        <v>1073</v>
      </c>
      <c r="BA21" s="136" t="s">
        <v>1073</v>
      </c>
      <c r="BB21" s="136" t="s">
        <v>1073</v>
      </c>
      <c r="BC21" s="136" t="s">
        <v>1073</v>
      </c>
      <c r="BD21" s="136" t="s">
        <v>1073</v>
      </c>
      <c r="BE21" s="136" t="s">
        <v>1073</v>
      </c>
      <c r="BF21" s="136" t="s">
        <v>1073</v>
      </c>
      <c r="BG21" s="136" t="s">
        <v>1073</v>
      </c>
      <c r="BH21" s="136" t="s">
        <v>1073</v>
      </c>
      <c r="BI21" s="136" t="s">
        <v>1073</v>
      </c>
      <c r="BJ21" s="136" t="s">
        <v>1073</v>
      </c>
      <c r="BK21" s="136" t="s">
        <v>1073</v>
      </c>
      <c r="BL21" s="136" t="s">
        <v>1073</v>
      </c>
      <c r="BM21" s="136" t="s">
        <v>1073</v>
      </c>
      <c r="BN21" s="136" t="s">
        <v>1073</v>
      </c>
      <c r="BO21" s="136" t="s">
        <v>1073</v>
      </c>
      <c r="BP21" s="136" t="s">
        <v>1073</v>
      </c>
      <c r="BQ21" s="136" t="s">
        <v>1073</v>
      </c>
      <c r="BR21" s="136" t="s">
        <v>1073</v>
      </c>
      <c r="BS21" s="136" t="s">
        <v>1073</v>
      </c>
      <c r="BT21" s="136" t="s">
        <v>1073</v>
      </c>
      <c r="BU21" s="136" t="s">
        <v>1073</v>
      </c>
      <c r="BV21" s="136" t="s">
        <v>1073</v>
      </c>
      <c r="BW21" s="136" t="s">
        <v>1073</v>
      </c>
      <c r="BX21" s="136" t="s">
        <v>1073</v>
      </c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129" t="s">
        <v>1073</v>
      </c>
      <c r="CJ21" s="129" t="s">
        <v>1073</v>
      </c>
      <c r="CK21" s="129" t="s">
        <v>1073</v>
      </c>
      <c r="CL21" s="129" t="s">
        <v>1073</v>
      </c>
      <c r="CM21" s="129" t="s">
        <v>1073</v>
      </c>
      <c r="CN21" s="129" t="s">
        <v>1073</v>
      </c>
      <c r="CO21" s="129" t="s">
        <v>1073</v>
      </c>
      <c r="CP21" s="129" t="s">
        <v>1073</v>
      </c>
      <c r="CQ21" s="129" t="s">
        <v>1073</v>
      </c>
      <c r="CR21" s="129" t="s">
        <v>1073</v>
      </c>
      <c r="CS21" s="129" t="s">
        <v>1073</v>
      </c>
      <c r="CT21" s="129" t="s">
        <v>1073</v>
      </c>
      <c r="CU21" s="129" t="s">
        <v>1073</v>
      </c>
      <c r="CV21" s="129" t="s">
        <v>1073</v>
      </c>
      <c r="CW21" s="129" t="s">
        <v>1073</v>
      </c>
      <c r="CX21" s="129" t="s">
        <v>1073</v>
      </c>
      <c r="CY21" s="129" t="s">
        <v>1073</v>
      </c>
      <c r="CZ21" s="129" t="s">
        <v>1073</v>
      </c>
      <c r="DA21" s="129" t="s">
        <v>1073</v>
      </c>
    </row>
    <row r="22" spans="1:105" ht="14.25">
      <c r="A22" s="133" t="s">
        <v>1073</v>
      </c>
      <c r="B22" s="134" t="s">
        <v>1085</v>
      </c>
      <c r="C22" s="134" t="s">
        <v>1085</v>
      </c>
      <c r="D22" s="134" t="s">
        <v>1085</v>
      </c>
      <c r="E22" s="134" t="s">
        <v>1085</v>
      </c>
      <c r="F22" s="134" t="s">
        <v>1085</v>
      </c>
      <c r="G22" s="134" t="s">
        <v>1085</v>
      </c>
      <c r="H22" s="134" t="s">
        <v>1085</v>
      </c>
      <c r="I22" s="134" t="s">
        <v>1085</v>
      </c>
      <c r="J22" s="134" t="s">
        <v>1085</v>
      </c>
      <c r="K22" s="134" t="s">
        <v>1085</v>
      </c>
      <c r="L22" s="134" t="s">
        <v>1085</v>
      </c>
      <c r="M22" s="134" t="s">
        <v>1085</v>
      </c>
      <c r="N22" s="134" t="s">
        <v>1085</v>
      </c>
      <c r="O22" s="134" t="s">
        <v>1085</v>
      </c>
      <c r="P22" s="134" t="s">
        <v>1085</v>
      </c>
      <c r="Q22" s="134" t="s">
        <v>1085</v>
      </c>
      <c r="R22" s="134" t="s">
        <v>1085</v>
      </c>
      <c r="S22" s="134" t="s">
        <v>1085</v>
      </c>
      <c r="T22" s="134" t="s">
        <v>1085</v>
      </c>
      <c r="U22" s="134" t="s">
        <v>1085</v>
      </c>
      <c r="V22" s="134" t="s">
        <v>1085</v>
      </c>
      <c r="W22" s="134" t="s">
        <v>1085</v>
      </c>
      <c r="X22" s="134" t="s">
        <v>1085</v>
      </c>
      <c r="Y22" s="134" t="s">
        <v>1085</v>
      </c>
      <c r="Z22" s="134" t="s">
        <v>1085</v>
      </c>
      <c r="AA22" s="134" t="s">
        <v>1085</v>
      </c>
      <c r="AB22" s="134" t="s">
        <v>1085</v>
      </c>
      <c r="AC22" s="134" t="s">
        <v>1085</v>
      </c>
      <c r="AD22" s="134" t="s">
        <v>1085</v>
      </c>
      <c r="AE22" s="134" t="s">
        <v>1085</v>
      </c>
      <c r="AF22" s="134" t="s">
        <v>1085</v>
      </c>
      <c r="AG22" s="134" t="s">
        <v>1085</v>
      </c>
      <c r="AH22" s="134" t="s">
        <v>1085</v>
      </c>
      <c r="AI22" s="134" t="s">
        <v>1085</v>
      </c>
      <c r="AJ22" s="134" t="s">
        <v>1085</v>
      </c>
      <c r="AK22" s="134" t="s">
        <v>1085</v>
      </c>
      <c r="AL22" s="134" t="s">
        <v>1085</v>
      </c>
      <c r="AM22" s="134" t="s">
        <v>1085</v>
      </c>
      <c r="AN22" s="134" t="s">
        <v>1085</v>
      </c>
      <c r="AO22" s="134" t="s">
        <v>1085</v>
      </c>
      <c r="AP22" s="134" t="s">
        <v>1085</v>
      </c>
      <c r="AQ22" s="134" t="s">
        <v>1085</v>
      </c>
      <c r="AR22" s="134" t="s">
        <v>1085</v>
      </c>
      <c r="AS22" s="134" t="s">
        <v>1085</v>
      </c>
      <c r="AT22" s="134" t="s">
        <v>1085</v>
      </c>
      <c r="AU22" s="134" t="s">
        <v>1085</v>
      </c>
      <c r="AV22" s="134" t="s">
        <v>1085</v>
      </c>
      <c r="AW22" s="134" t="s">
        <v>1085</v>
      </c>
      <c r="AX22" s="134" t="s">
        <v>1085</v>
      </c>
      <c r="AY22" s="134" t="s">
        <v>1085</v>
      </c>
      <c r="AZ22" s="134" t="s">
        <v>1085</v>
      </c>
      <c r="BA22" s="134" t="s">
        <v>1085</v>
      </c>
      <c r="BB22" s="134" t="s">
        <v>1085</v>
      </c>
      <c r="BC22" s="134" t="s">
        <v>1085</v>
      </c>
      <c r="BD22" s="134" t="s">
        <v>1085</v>
      </c>
      <c r="BE22" s="134" t="s">
        <v>455</v>
      </c>
      <c r="BF22" s="134" t="s">
        <v>1085</v>
      </c>
      <c r="BG22" s="134" t="s">
        <v>455</v>
      </c>
      <c r="BH22" s="134" t="s">
        <v>1085</v>
      </c>
      <c r="BI22" s="134" t="s">
        <v>1085</v>
      </c>
      <c r="BJ22" s="134" t="s">
        <v>1085</v>
      </c>
      <c r="BK22" s="134" t="s">
        <v>455</v>
      </c>
      <c r="BL22" s="134" t="s">
        <v>455</v>
      </c>
      <c r="BM22" s="134" t="s">
        <v>455</v>
      </c>
      <c r="BN22" s="134" t="s">
        <v>455</v>
      </c>
      <c r="BO22" s="134" t="s">
        <v>455</v>
      </c>
      <c r="BP22" s="134" t="s">
        <v>1085</v>
      </c>
      <c r="BQ22" s="134" t="s">
        <v>455</v>
      </c>
      <c r="BR22" s="134" t="s">
        <v>455</v>
      </c>
      <c r="BS22" s="134" t="s">
        <v>455</v>
      </c>
      <c r="BT22" s="134" t="s">
        <v>455</v>
      </c>
      <c r="BU22" s="134" t="s">
        <v>1085</v>
      </c>
      <c r="BV22" s="134" t="s">
        <v>455</v>
      </c>
      <c r="BW22" s="134" t="s">
        <v>455</v>
      </c>
      <c r="BX22" s="134" t="s">
        <v>455</v>
      </c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29" t="s">
        <v>1073</v>
      </c>
      <c r="CJ22" s="129" t="s">
        <v>1073</v>
      </c>
      <c r="CK22" s="129" t="s">
        <v>1073</v>
      </c>
      <c r="CL22" s="129" t="s">
        <v>1073</v>
      </c>
      <c r="CM22" s="129" t="s">
        <v>1073</v>
      </c>
      <c r="CN22" s="129" t="s">
        <v>1073</v>
      </c>
      <c r="CO22" s="129" t="s">
        <v>1073</v>
      </c>
      <c r="CP22" s="129" t="s">
        <v>1073</v>
      </c>
      <c r="CQ22" s="129" t="s">
        <v>1073</v>
      </c>
      <c r="CR22" s="129" t="s">
        <v>1073</v>
      </c>
      <c r="CS22" s="129" t="s">
        <v>1073</v>
      </c>
      <c r="CT22" s="129" t="s">
        <v>1073</v>
      </c>
      <c r="CU22" s="129" t="s">
        <v>1073</v>
      </c>
      <c r="CV22" s="129" t="s">
        <v>1073</v>
      </c>
      <c r="CW22" s="129" t="s">
        <v>1073</v>
      </c>
      <c r="CX22" s="129" t="s">
        <v>1073</v>
      </c>
      <c r="CY22" s="129" t="s">
        <v>1073</v>
      </c>
      <c r="CZ22" s="129" t="s">
        <v>1073</v>
      </c>
      <c r="DA22" s="129" t="s">
        <v>1073</v>
      </c>
    </row>
    <row r="23" spans="1:105" ht="14.25">
      <c r="A23" s="133" t="s">
        <v>1073</v>
      </c>
      <c r="B23" s="134" t="s">
        <v>1224</v>
      </c>
      <c r="C23" s="134" t="s">
        <v>1224</v>
      </c>
      <c r="D23" s="134" t="s">
        <v>1224</v>
      </c>
      <c r="E23" s="134" t="s">
        <v>1224</v>
      </c>
      <c r="F23" s="134" t="s">
        <v>1224</v>
      </c>
      <c r="G23" s="134" t="s">
        <v>1224</v>
      </c>
      <c r="H23" s="134" t="s">
        <v>1224</v>
      </c>
      <c r="I23" s="134" t="s">
        <v>1224</v>
      </c>
      <c r="J23" s="134" t="s">
        <v>1224</v>
      </c>
      <c r="K23" s="134" t="s">
        <v>1224</v>
      </c>
      <c r="L23" s="134" t="s">
        <v>1224</v>
      </c>
      <c r="M23" s="134" t="s">
        <v>1224</v>
      </c>
      <c r="N23" s="134" t="s">
        <v>1224</v>
      </c>
      <c r="O23" s="134" t="s">
        <v>1224</v>
      </c>
      <c r="P23" s="134" t="s">
        <v>1224</v>
      </c>
      <c r="Q23" s="134" t="s">
        <v>1224</v>
      </c>
      <c r="R23" s="134" t="s">
        <v>1224</v>
      </c>
      <c r="S23" s="134" t="s">
        <v>1224</v>
      </c>
      <c r="T23" s="134" t="s">
        <v>1224</v>
      </c>
      <c r="U23" s="134" t="s">
        <v>1224</v>
      </c>
      <c r="V23" s="134" t="s">
        <v>1224</v>
      </c>
      <c r="W23" s="134" t="s">
        <v>1224</v>
      </c>
      <c r="X23" s="134" t="s">
        <v>1224</v>
      </c>
      <c r="Y23" s="134" t="s">
        <v>1224</v>
      </c>
      <c r="Z23" s="134" t="s">
        <v>1224</v>
      </c>
      <c r="AA23" s="134" t="s">
        <v>1224</v>
      </c>
      <c r="AB23" s="134" t="s">
        <v>1224</v>
      </c>
      <c r="AC23" s="134" t="s">
        <v>1224</v>
      </c>
      <c r="AD23" s="134" t="s">
        <v>1224</v>
      </c>
      <c r="AE23" s="134" t="s">
        <v>1224</v>
      </c>
      <c r="AF23" s="134" t="s">
        <v>1224</v>
      </c>
      <c r="AG23" s="134" t="s">
        <v>1224</v>
      </c>
      <c r="AH23" s="134" t="s">
        <v>1224</v>
      </c>
      <c r="AI23" s="134" t="s">
        <v>1224</v>
      </c>
      <c r="AJ23" s="134" t="s">
        <v>1224</v>
      </c>
      <c r="AK23" s="134" t="s">
        <v>1224</v>
      </c>
      <c r="AL23" s="134" t="s">
        <v>1224</v>
      </c>
      <c r="AM23" s="134" t="s">
        <v>1224</v>
      </c>
      <c r="AN23" s="134" t="s">
        <v>1224</v>
      </c>
      <c r="AO23" s="134" t="s">
        <v>1224</v>
      </c>
      <c r="AP23" s="134" t="s">
        <v>1224</v>
      </c>
      <c r="AQ23" s="134" t="s">
        <v>1224</v>
      </c>
      <c r="AR23" s="134" t="s">
        <v>1224</v>
      </c>
      <c r="AS23" s="134" t="s">
        <v>1224</v>
      </c>
      <c r="AT23" s="134" t="s">
        <v>1224</v>
      </c>
      <c r="AU23" s="134" t="s">
        <v>1224</v>
      </c>
      <c r="AV23" s="134" t="s">
        <v>1224</v>
      </c>
      <c r="AW23" s="134" t="s">
        <v>1224</v>
      </c>
      <c r="AX23" s="134" t="s">
        <v>1224</v>
      </c>
      <c r="AY23" s="134" t="s">
        <v>1224</v>
      </c>
      <c r="AZ23" s="134" t="s">
        <v>1224</v>
      </c>
      <c r="BA23" s="134" t="s">
        <v>1224</v>
      </c>
      <c r="BB23" s="134" t="s">
        <v>1224</v>
      </c>
      <c r="BC23" s="134" t="s">
        <v>1224</v>
      </c>
      <c r="BD23" s="134" t="s">
        <v>1224</v>
      </c>
      <c r="BE23" s="134" t="s">
        <v>815</v>
      </c>
      <c r="BF23" s="134" t="s">
        <v>1224</v>
      </c>
      <c r="BG23" s="138" t="str">
        <f>IF(Configurator!D29="2","With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H23" s="134" t="s">
        <v>1224</v>
      </c>
      <c r="BI23" s="134" t="s">
        <v>1224</v>
      </c>
      <c r="BJ23" s="134" t="s">
        <v>1224</v>
      </c>
      <c r="BK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L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M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N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O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P23" s="134" t="s">
        <v>1224</v>
      </c>
      <c r="BQ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R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S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T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U23" s="134" t="s">
        <v>1224</v>
      </c>
      <c r="BV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W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X23" s="138" t="str">
        <f>IF(Configurator!$D$29="2","With 1 binary module (add. 6 binary inputs and 6 output relays (1-pole)) for the control of up to 3 add'l switchgear units","With 1 binary module (add. 6 binary inputs and 6 output relays (2-pole)) for the control of up to 3 add'l switchgear units")</f>
        <v>With 1 binary module (add. 6 binary inputs and 6 output relays (2-pole)) for the control of up to 3 add'l switchgear units</v>
      </c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29" t="s">
        <v>1073</v>
      </c>
      <c r="CJ23" s="129" t="s">
        <v>1073</v>
      </c>
      <c r="CK23" s="129" t="s">
        <v>1073</v>
      </c>
      <c r="CL23" s="129" t="s">
        <v>1073</v>
      </c>
      <c r="CM23" s="129" t="s">
        <v>1073</v>
      </c>
      <c r="CN23" s="129" t="s">
        <v>1073</v>
      </c>
      <c r="CO23" s="129" t="s">
        <v>1073</v>
      </c>
      <c r="CP23" s="129" t="s">
        <v>1073</v>
      </c>
      <c r="CQ23" s="129" t="s">
        <v>1073</v>
      </c>
      <c r="CR23" s="129" t="s">
        <v>1073</v>
      </c>
      <c r="CS23" s="129" t="s">
        <v>1073</v>
      </c>
      <c r="CT23" s="129" t="s">
        <v>1073</v>
      </c>
      <c r="CU23" s="129" t="s">
        <v>1073</v>
      </c>
      <c r="CV23" s="129" t="s">
        <v>1073</v>
      </c>
      <c r="CW23" s="129" t="s">
        <v>1073</v>
      </c>
      <c r="CX23" s="129" t="s">
        <v>1073</v>
      </c>
      <c r="CY23" s="129" t="s">
        <v>1073</v>
      </c>
      <c r="CZ23" s="129" t="s">
        <v>1073</v>
      </c>
      <c r="DA23" s="129" t="s">
        <v>1073</v>
      </c>
    </row>
    <row r="24" spans="1:105" ht="15">
      <c r="A24" s="135" t="s">
        <v>1075</v>
      </c>
      <c r="B24" s="136" t="s">
        <v>1073</v>
      </c>
      <c r="C24" s="136" t="s">
        <v>1073</v>
      </c>
      <c r="D24" s="136" t="s">
        <v>1073</v>
      </c>
      <c r="E24" s="136" t="s">
        <v>1073</v>
      </c>
      <c r="F24" s="136" t="s">
        <v>1073</v>
      </c>
      <c r="G24" s="136" t="s">
        <v>1073</v>
      </c>
      <c r="H24" s="136" t="s">
        <v>1073</v>
      </c>
      <c r="I24" s="136" t="s">
        <v>1073</v>
      </c>
      <c r="J24" s="136" t="s">
        <v>1073</v>
      </c>
      <c r="K24" s="136" t="s">
        <v>1073</v>
      </c>
      <c r="L24" s="136" t="s">
        <v>1073</v>
      </c>
      <c r="M24" s="136" t="s">
        <v>1073</v>
      </c>
      <c r="N24" s="136" t="s">
        <v>1073</v>
      </c>
      <c r="O24" s="136" t="s">
        <v>1073</v>
      </c>
      <c r="P24" s="136" t="s">
        <v>1073</v>
      </c>
      <c r="Q24" s="136" t="s">
        <v>1073</v>
      </c>
      <c r="R24" s="136" t="s">
        <v>1073</v>
      </c>
      <c r="S24" s="136" t="s">
        <v>1073</v>
      </c>
      <c r="T24" s="136" t="s">
        <v>1073</v>
      </c>
      <c r="U24" s="136" t="s">
        <v>1073</v>
      </c>
      <c r="V24" s="136" t="s">
        <v>1073</v>
      </c>
      <c r="W24" s="136" t="s">
        <v>1073</v>
      </c>
      <c r="X24" s="136" t="s">
        <v>1073</v>
      </c>
      <c r="Y24" s="136" t="s">
        <v>1073</v>
      </c>
      <c r="Z24" s="136" t="s">
        <v>1073</v>
      </c>
      <c r="AA24" s="136" t="s">
        <v>1073</v>
      </c>
      <c r="AB24" s="136" t="s">
        <v>1073</v>
      </c>
      <c r="AC24" s="136" t="s">
        <v>1073</v>
      </c>
      <c r="AD24" s="136" t="s">
        <v>1073</v>
      </c>
      <c r="AE24" s="136" t="s">
        <v>1073</v>
      </c>
      <c r="AF24" s="136" t="s">
        <v>1073</v>
      </c>
      <c r="AG24" s="136" t="s">
        <v>1073</v>
      </c>
      <c r="AH24" s="136" t="s">
        <v>1073</v>
      </c>
      <c r="AI24" s="136" t="s">
        <v>1073</v>
      </c>
      <c r="AJ24" s="136" t="s">
        <v>1073</v>
      </c>
      <c r="AK24" s="136" t="s">
        <v>1073</v>
      </c>
      <c r="AL24" s="136" t="s">
        <v>1073</v>
      </c>
      <c r="AM24" s="136" t="s">
        <v>1073</v>
      </c>
      <c r="AN24" s="136" t="s">
        <v>1073</v>
      </c>
      <c r="AO24" s="136" t="s">
        <v>1073</v>
      </c>
      <c r="AP24" s="136" t="s">
        <v>1073</v>
      </c>
      <c r="AQ24" s="136" t="s">
        <v>1073</v>
      </c>
      <c r="AR24" s="136" t="s">
        <v>1073</v>
      </c>
      <c r="AS24" s="136" t="s">
        <v>1073</v>
      </c>
      <c r="AT24" s="136" t="s">
        <v>1073</v>
      </c>
      <c r="AU24" s="136" t="s">
        <v>1073</v>
      </c>
      <c r="AV24" s="136" t="s">
        <v>1073</v>
      </c>
      <c r="AW24" s="136" t="s">
        <v>1073</v>
      </c>
      <c r="AX24" s="136" t="s">
        <v>1073</v>
      </c>
      <c r="AY24" s="136" t="s">
        <v>1073</v>
      </c>
      <c r="AZ24" s="136" t="s">
        <v>1073</v>
      </c>
      <c r="BA24" s="136" t="s">
        <v>1073</v>
      </c>
      <c r="BB24" s="136" t="s">
        <v>1073</v>
      </c>
      <c r="BC24" s="136" t="s">
        <v>1073</v>
      </c>
      <c r="BD24" s="136" t="s">
        <v>1073</v>
      </c>
      <c r="BE24" s="136" t="s">
        <v>1073</v>
      </c>
      <c r="BF24" s="136" t="s">
        <v>1073</v>
      </c>
      <c r="BG24" s="136" t="s">
        <v>1073</v>
      </c>
      <c r="BH24" s="136" t="s">
        <v>1073</v>
      </c>
      <c r="BI24" s="136" t="s">
        <v>1073</v>
      </c>
      <c r="BJ24" s="136" t="s">
        <v>1073</v>
      </c>
      <c r="BK24" s="136" t="s">
        <v>1073</v>
      </c>
      <c r="BL24" s="136" t="s">
        <v>1073</v>
      </c>
      <c r="BM24" s="136" t="s">
        <v>1073</v>
      </c>
      <c r="BN24" s="136" t="s">
        <v>1073</v>
      </c>
      <c r="BO24" s="136" t="s">
        <v>1073</v>
      </c>
      <c r="BP24" s="136" t="s">
        <v>1073</v>
      </c>
      <c r="BQ24" s="136" t="s">
        <v>1073</v>
      </c>
      <c r="BR24" s="136" t="s">
        <v>1073</v>
      </c>
      <c r="BS24" s="136" t="s">
        <v>1073</v>
      </c>
      <c r="BT24" s="136" t="s">
        <v>1073</v>
      </c>
      <c r="BU24" s="136" t="s">
        <v>1073</v>
      </c>
      <c r="BV24" s="136" t="s">
        <v>1073</v>
      </c>
      <c r="BW24" s="136" t="s">
        <v>1073</v>
      </c>
      <c r="BX24" s="136" t="s">
        <v>1073</v>
      </c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129" t="s">
        <v>1073</v>
      </c>
      <c r="CJ24" s="129" t="s">
        <v>1073</v>
      </c>
      <c r="CK24" s="129" t="s">
        <v>1073</v>
      </c>
      <c r="CL24" s="129" t="s">
        <v>1073</v>
      </c>
      <c r="CM24" s="129" t="s">
        <v>1073</v>
      </c>
      <c r="CN24" s="129" t="s">
        <v>1073</v>
      </c>
      <c r="CO24" s="129" t="s">
        <v>1073</v>
      </c>
      <c r="CP24" s="129" t="s">
        <v>1073</v>
      </c>
      <c r="CQ24" s="129" t="s">
        <v>1073</v>
      </c>
      <c r="CR24" s="129" t="s">
        <v>1073</v>
      </c>
      <c r="CS24" s="129" t="s">
        <v>1073</v>
      </c>
      <c r="CT24" s="129" t="s">
        <v>1073</v>
      </c>
      <c r="CU24" s="129" t="s">
        <v>1073</v>
      </c>
      <c r="CV24" s="129" t="s">
        <v>1073</v>
      </c>
      <c r="CW24" s="129" t="s">
        <v>1073</v>
      </c>
      <c r="CX24" s="129" t="s">
        <v>1073</v>
      </c>
      <c r="CY24" s="129" t="s">
        <v>1073</v>
      </c>
      <c r="CZ24" s="129" t="s">
        <v>1073</v>
      </c>
      <c r="DA24" s="129" t="s">
        <v>1073</v>
      </c>
    </row>
    <row r="25" spans="1:105" ht="15">
      <c r="A25" s="137" t="s">
        <v>1073</v>
      </c>
      <c r="B25" s="134" t="s">
        <v>1095</v>
      </c>
      <c r="C25" s="134" t="s">
        <v>1095</v>
      </c>
      <c r="D25" s="134" t="s">
        <v>1095</v>
      </c>
      <c r="E25" s="134" t="s">
        <v>1095</v>
      </c>
      <c r="F25" s="134" t="s">
        <v>1095</v>
      </c>
      <c r="G25" s="134" t="s">
        <v>1095</v>
      </c>
      <c r="H25" s="134" t="s">
        <v>1095</v>
      </c>
      <c r="I25" s="134" t="s">
        <v>1095</v>
      </c>
      <c r="J25" s="134" t="s">
        <v>1095</v>
      </c>
      <c r="K25" s="134" t="s">
        <v>1095</v>
      </c>
      <c r="L25" s="134" t="s">
        <v>1095</v>
      </c>
      <c r="M25" s="134" t="s">
        <v>1095</v>
      </c>
      <c r="N25" s="134" t="s">
        <v>1095</v>
      </c>
      <c r="O25" s="134" t="s">
        <v>1095</v>
      </c>
      <c r="P25" s="134" t="s">
        <v>1095</v>
      </c>
      <c r="Q25" s="134" t="s">
        <v>1095</v>
      </c>
      <c r="R25" s="134" t="s">
        <v>1095</v>
      </c>
      <c r="S25" s="134" t="s">
        <v>1095</v>
      </c>
      <c r="T25" s="134" t="s">
        <v>1095</v>
      </c>
      <c r="U25" s="134" t="s">
        <v>1095</v>
      </c>
      <c r="V25" s="134" t="s">
        <v>1095</v>
      </c>
      <c r="W25" s="134" t="s">
        <v>1095</v>
      </c>
      <c r="X25" s="134" t="s">
        <v>1095</v>
      </c>
      <c r="Y25" s="134" t="s">
        <v>1095</v>
      </c>
      <c r="Z25" s="134" t="s">
        <v>1095</v>
      </c>
      <c r="AA25" s="134" t="s">
        <v>1095</v>
      </c>
      <c r="AB25" s="134" t="s">
        <v>1095</v>
      </c>
      <c r="AC25" s="134" t="s">
        <v>1095</v>
      </c>
      <c r="AD25" s="134" t="s">
        <v>1095</v>
      </c>
      <c r="AE25" s="134" t="s">
        <v>1095</v>
      </c>
      <c r="AF25" s="134" t="s">
        <v>1095</v>
      </c>
      <c r="AG25" s="134" t="s">
        <v>1095</v>
      </c>
      <c r="AH25" s="134" t="s">
        <v>1095</v>
      </c>
      <c r="AI25" s="134" t="s">
        <v>1095</v>
      </c>
      <c r="AJ25" s="134" t="s">
        <v>1095</v>
      </c>
      <c r="AK25" s="134" t="s">
        <v>1095</v>
      </c>
      <c r="AL25" s="134" t="s">
        <v>1095</v>
      </c>
      <c r="AM25" s="134" t="s">
        <v>1095</v>
      </c>
      <c r="AN25" s="134" t="s">
        <v>1095</v>
      </c>
      <c r="AO25" s="134" t="s">
        <v>1095</v>
      </c>
      <c r="AP25" s="134" t="s">
        <v>1095</v>
      </c>
      <c r="AQ25" s="134" t="s">
        <v>1095</v>
      </c>
      <c r="AR25" s="134" t="s">
        <v>1095</v>
      </c>
      <c r="AS25" s="134" t="s">
        <v>1095</v>
      </c>
      <c r="AT25" s="134" t="s">
        <v>1095</v>
      </c>
      <c r="AU25" s="134" t="s">
        <v>1095</v>
      </c>
      <c r="AV25" s="134" t="s">
        <v>1095</v>
      </c>
      <c r="AW25" s="134" t="s">
        <v>1095</v>
      </c>
      <c r="AX25" s="134" t="s">
        <v>1095</v>
      </c>
      <c r="AY25" s="134" t="s">
        <v>1095</v>
      </c>
      <c r="AZ25" s="134" t="s">
        <v>1095</v>
      </c>
      <c r="BA25" s="134" t="s">
        <v>1095</v>
      </c>
      <c r="BB25" s="134" t="s">
        <v>1095</v>
      </c>
      <c r="BC25" s="134" t="s">
        <v>1095</v>
      </c>
      <c r="BD25" s="134" t="s">
        <v>1095</v>
      </c>
      <c r="BE25" s="134" t="s">
        <v>1095</v>
      </c>
      <c r="BF25" s="134" t="s">
        <v>1095</v>
      </c>
      <c r="BG25" s="134" t="s">
        <v>1095</v>
      </c>
      <c r="BH25" s="134" t="s">
        <v>1095</v>
      </c>
      <c r="BI25" s="134" t="s">
        <v>1095</v>
      </c>
      <c r="BJ25" s="134" t="s">
        <v>1095</v>
      </c>
      <c r="BK25" s="134" t="s">
        <v>1095</v>
      </c>
      <c r="BL25" s="134" t="s">
        <v>1095</v>
      </c>
      <c r="BM25" s="134" t="s">
        <v>1095</v>
      </c>
      <c r="BN25" s="134" t="s">
        <v>1095</v>
      </c>
      <c r="BO25" s="134" t="s">
        <v>1095</v>
      </c>
      <c r="BP25" s="134" t="s">
        <v>1095</v>
      </c>
      <c r="BQ25" s="134" t="s">
        <v>1095</v>
      </c>
      <c r="BR25" s="134" t="s">
        <v>1095</v>
      </c>
      <c r="BS25" s="134" t="s">
        <v>1095</v>
      </c>
      <c r="BT25" s="134" t="s">
        <v>1095</v>
      </c>
      <c r="BU25" s="134" t="s">
        <v>1095</v>
      </c>
      <c r="BV25" s="134" t="s">
        <v>1095</v>
      </c>
      <c r="BW25" s="134" t="s">
        <v>1095</v>
      </c>
      <c r="BX25" s="134" t="s">
        <v>1095</v>
      </c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29" t="s">
        <v>1073</v>
      </c>
      <c r="CJ25" s="129" t="s">
        <v>1073</v>
      </c>
      <c r="CK25" s="129" t="s">
        <v>1073</v>
      </c>
      <c r="CL25" s="129" t="s">
        <v>1073</v>
      </c>
      <c r="CM25" s="129" t="s">
        <v>1073</v>
      </c>
      <c r="CN25" s="129" t="s">
        <v>1073</v>
      </c>
      <c r="CO25" s="129" t="s">
        <v>1073</v>
      </c>
      <c r="CP25" s="129" t="s">
        <v>1073</v>
      </c>
      <c r="CQ25" s="129" t="s">
        <v>1073</v>
      </c>
      <c r="CR25" s="129" t="s">
        <v>1073</v>
      </c>
      <c r="CS25" s="129" t="s">
        <v>1073</v>
      </c>
      <c r="CT25" s="129" t="s">
        <v>1073</v>
      </c>
      <c r="CU25" s="129" t="s">
        <v>1073</v>
      </c>
      <c r="CV25" s="129" t="s">
        <v>1073</v>
      </c>
      <c r="CW25" s="129" t="s">
        <v>1073</v>
      </c>
      <c r="CX25" s="129" t="s">
        <v>1073</v>
      </c>
      <c r="CY25" s="129" t="s">
        <v>1073</v>
      </c>
      <c r="CZ25" s="129" t="s">
        <v>1073</v>
      </c>
      <c r="DA25" s="129" t="s">
        <v>1073</v>
      </c>
    </row>
    <row r="26" spans="1:105" ht="15">
      <c r="A26" s="137" t="s">
        <v>1073</v>
      </c>
      <c r="B26" s="134" t="s">
        <v>1216</v>
      </c>
      <c r="C26" s="134" t="s">
        <v>1216</v>
      </c>
      <c r="D26" s="134" t="s">
        <v>1216</v>
      </c>
      <c r="E26" s="134" t="s">
        <v>1216</v>
      </c>
      <c r="F26" s="134" t="s">
        <v>1216</v>
      </c>
      <c r="G26" s="134" t="s">
        <v>1216</v>
      </c>
      <c r="H26" s="134" t="s">
        <v>1216</v>
      </c>
      <c r="I26" s="134" t="s">
        <v>1216</v>
      </c>
      <c r="J26" s="134" t="s">
        <v>1216</v>
      </c>
      <c r="K26" s="134" t="s">
        <v>1216</v>
      </c>
      <c r="L26" s="134" t="s">
        <v>1216</v>
      </c>
      <c r="M26" s="134" t="s">
        <v>1216</v>
      </c>
      <c r="N26" s="134" t="s">
        <v>1216</v>
      </c>
      <c r="O26" s="134" t="s">
        <v>1216</v>
      </c>
      <c r="P26" s="134" t="s">
        <v>1216</v>
      </c>
      <c r="Q26" s="134" t="s">
        <v>1216</v>
      </c>
      <c r="R26" s="134" t="s">
        <v>1216</v>
      </c>
      <c r="S26" s="134" t="s">
        <v>1216</v>
      </c>
      <c r="T26" s="134" t="s">
        <v>1216</v>
      </c>
      <c r="U26" s="134" t="s">
        <v>1216</v>
      </c>
      <c r="V26" s="134" t="s">
        <v>1216</v>
      </c>
      <c r="W26" s="134" t="s">
        <v>1216</v>
      </c>
      <c r="X26" s="134" t="s">
        <v>1216</v>
      </c>
      <c r="Y26" s="134" t="s">
        <v>1216</v>
      </c>
      <c r="Z26" s="134" t="s">
        <v>1216</v>
      </c>
      <c r="AA26" s="134" t="s">
        <v>1216</v>
      </c>
      <c r="AB26" s="134" t="s">
        <v>1216</v>
      </c>
      <c r="AC26" s="134" t="s">
        <v>1216</v>
      </c>
      <c r="AD26" s="134" t="s">
        <v>1216</v>
      </c>
      <c r="AE26" s="134" t="s">
        <v>1216</v>
      </c>
      <c r="AF26" s="134" t="s">
        <v>1216</v>
      </c>
      <c r="AG26" s="134" t="s">
        <v>1216</v>
      </c>
      <c r="AH26" s="134" t="s">
        <v>1216</v>
      </c>
      <c r="AI26" s="134" t="s">
        <v>1216</v>
      </c>
      <c r="AJ26" s="134" t="s">
        <v>1216</v>
      </c>
      <c r="AK26" s="134" t="s">
        <v>1216</v>
      </c>
      <c r="AL26" s="134" t="s">
        <v>1216</v>
      </c>
      <c r="AM26" s="134" t="s">
        <v>1216</v>
      </c>
      <c r="AN26" s="134" t="s">
        <v>1216</v>
      </c>
      <c r="AO26" s="134" t="s">
        <v>1216</v>
      </c>
      <c r="AP26" s="134" t="s">
        <v>1216</v>
      </c>
      <c r="AQ26" s="134" t="s">
        <v>1216</v>
      </c>
      <c r="AR26" s="134" t="s">
        <v>1216</v>
      </c>
      <c r="AS26" s="134" t="s">
        <v>1216</v>
      </c>
      <c r="AT26" s="134" t="s">
        <v>1216</v>
      </c>
      <c r="AU26" s="134" t="s">
        <v>1216</v>
      </c>
      <c r="AV26" s="134" t="s">
        <v>1216</v>
      </c>
      <c r="AW26" s="134" t="s">
        <v>1216</v>
      </c>
      <c r="AX26" s="134" t="s">
        <v>1216</v>
      </c>
      <c r="AY26" s="134" t="s">
        <v>1216</v>
      </c>
      <c r="AZ26" s="134" t="s">
        <v>1216</v>
      </c>
      <c r="BA26" s="134" t="s">
        <v>1216</v>
      </c>
      <c r="BB26" s="134" t="s">
        <v>1216</v>
      </c>
      <c r="BC26" s="134" t="s">
        <v>1216</v>
      </c>
      <c r="BD26" s="134" t="s">
        <v>1216</v>
      </c>
      <c r="BE26" s="134" t="s">
        <v>1216</v>
      </c>
      <c r="BF26" s="134" t="s">
        <v>1216</v>
      </c>
      <c r="BG26" s="134" t="s">
        <v>1216</v>
      </c>
      <c r="BH26" s="134" t="s">
        <v>1216</v>
      </c>
      <c r="BI26" s="134" t="s">
        <v>1216</v>
      </c>
      <c r="BJ26" s="134" t="s">
        <v>1216</v>
      </c>
      <c r="BK26" s="134" t="s">
        <v>1216</v>
      </c>
      <c r="BL26" s="134" t="s">
        <v>1216</v>
      </c>
      <c r="BM26" s="134" t="s">
        <v>1216</v>
      </c>
      <c r="BN26" s="134" t="s">
        <v>1216</v>
      </c>
      <c r="BO26" s="134" t="s">
        <v>1216</v>
      </c>
      <c r="BP26" s="134" t="s">
        <v>1216</v>
      </c>
      <c r="BQ26" s="134" t="s">
        <v>1216</v>
      </c>
      <c r="BR26" s="134" t="s">
        <v>1216</v>
      </c>
      <c r="BS26" s="134" t="s">
        <v>1216</v>
      </c>
      <c r="BT26" s="134" t="s">
        <v>1216</v>
      </c>
      <c r="BU26" s="134" t="s">
        <v>1216</v>
      </c>
      <c r="BV26" s="134" t="s">
        <v>1216</v>
      </c>
      <c r="BW26" s="134" t="s">
        <v>1216</v>
      </c>
      <c r="BX26" s="134" t="s">
        <v>1216</v>
      </c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29" t="s">
        <v>1073</v>
      </c>
      <c r="CJ26" s="129" t="s">
        <v>1073</v>
      </c>
      <c r="CK26" s="129" t="s">
        <v>1073</v>
      </c>
      <c r="CL26" s="129" t="s">
        <v>1073</v>
      </c>
      <c r="CM26" s="129" t="s">
        <v>1073</v>
      </c>
      <c r="CN26" s="129" t="s">
        <v>1073</v>
      </c>
      <c r="CO26" s="129" t="s">
        <v>1073</v>
      </c>
      <c r="CP26" s="129" t="s">
        <v>1073</v>
      </c>
      <c r="CQ26" s="129" t="s">
        <v>1073</v>
      </c>
      <c r="CR26" s="129" t="s">
        <v>1073</v>
      </c>
      <c r="CS26" s="129" t="s">
        <v>1073</v>
      </c>
      <c r="CT26" s="129" t="s">
        <v>1073</v>
      </c>
      <c r="CU26" s="129" t="s">
        <v>1073</v>
      </c>
      <c r="CV26" s="129" t="s">
        <v>1073</v>
      </c>
      <c r="CW26" s="129" t="s">
        <v>1073</v>
      </c>
      <c r="CX26" s="129" t="s">
        <v>1073</v>
      </c>
      <c r="CY26" s="129" t="s">
        <v>1073</v>
      </c>
      <c r="CZ26" s="129" t="s">
        <v>1073</v>
      </c>
      <c r="DA26" s="129" t="s">
        <v>1073</v>
      </c>
    </row>
    <row r="27" spans="1:105" ht="15">
      <c r="A27" s="137" t="s">
        <v>1073</v>
      </c>
      <c r="B27" s="134" t="s">
        <v>1219</v>
      </c>
      <c r="C27" s="134" t="s">
        <v>1219</v>
      </c>
      <c r="D27" s="134" t="s">
        <v>1219</v>
      </c>
      <c r="E27" s="134" t="s">
        <v>1219</v>
      </c>
      <c r="F27" s="134" t="s">
        <v>1219</v>
      </c>
      <c r="G27" s="134" t="s">
        <v>1219</v>
      </c>
      <c r="H27" s="134" t="s">
        <v>1219</v>
      </c>
      <c r="I27" s="134" t="s">
        <v>1219</v>
      </c>
      <c r="J27" s="134" t="s">
        <v>1219</v>
      </c>
      <c r="K27" s="134" t="s">
        <v>1219</v>
      </c>
      <c r="L27" s="134" t="s">
        <v>1219</v>
      </c>
      <c r="M27" s="134" t="s">
        <v>1219</v>
      </c>
      <c r="N27" s="134" t="s">
        <v>1219</v>
      </c>
      <c r="O27" s="134" t="s">
        <v>1219</v>
      </c>
      <c r="P27" s="134" t="s">
        <v>1219</v>
      </c>
      <c r="Q27" s="134" t="s">
        <v>1219</v>
      </c>
      <c r="R27" s="134" t="s">
        <v>1219</v>
      </c>
      <c r="S27" s="134" t="s">
        <v>1219</v>
      </c>
      <c r="T27" s="134" t="s">
        <v>1219</v>
      </c>
      <c r="U27" s="134" t="s">
        <v>1219</v>
      </c>
      <c r="V27" s="134" t="s">
        <v>1219</v>
      </c>
      <c r="W27" s="134" t="s">
        <v>1219</v>
      </c>
      <c r="X27" s="134" t="s">
        <v>1219</v>
      </c>
      <c r="Y27" s="134" t="s">
        <v>1219</v>
      </c>
      <c r="Z27" s="134" t="s">
        <v>1219</v>
      </c>
      <c r="AA27" s="134" t="s">
        <v>1219</v>
      </c>
      <c r="AB27" s="134" t="s">
        <v>1219</v>
      </c>
      <c r="AC27" s="134" t="s">
        <v>1219</v>
      </c>
      <c r="AD27" s="134" t="s">
        <v>1219</v>
      </c>
      <c r="AE27" s="134" t="s">
        <v>1219</v>
      </c>
      <c r="AF27" s="134" t="s">
        <v>1219</v>
      </c>
      <c r="AG27" s="134" t="s">
        <v>1219</v>
      </c>
      <c r="AH27" s="134" t="s">
        <v>1219</v>
      </c>
      <c r="AI27" s="134" t="s">
        <v>1219</v>
      </c>
      <c r="AJ27" s="134" t="s">
        <v>1219</v>
      </c>
      <c r="AK27" s="134" t="s">
        <v>1219</v>
      </c>
      <c r="AL27" s="134" t="s">
        <v>1219</v>
      </c>
      <c r="AM27" s="134" t="s">
        <v>1219</v>
      </c>
      <c r="AN27" s="134" t="s">
        <v>1219</v>
      </c>
      <c r="AO27" s="134" t="s">
        <v>1219</v>
      </c>
      <c r="AP27" s="134" t="s">
        <v>1219</v>
      </c>
      <c r="AQ27" s="134" t="s">
        <v>1219</v>
      </c>
      <c r="AR27" s="134" t="s">
        <v>1219</v>
      </c>
      <c r="AS27" s="134" t="s">
        <v>1219</v>
      </c>
      <c r="AT27" s="134" t="s">
        <v>1219</v>
      </c>
      <c r="AU27" s="134" t="s">
        <v>1219</v>
      </c>
      <c r="AV27" s="134" t="s">
        <v>1219</v>
      </c>
      <c r="AW27" s="134" t="s">
        <v>1219</v>
      </c>
      <c r="AX27" s="134" t="s">
        <v>1219</v>
      </c>
      <c r="AY27" s="134" t="s">
        <v>1219</v>
      </c>
      <c r="AZ27" s="134" t="s">
        <v>1219</v>
      </c>
      <c r="BA27" s="134" t="s">
        <v>1219</v>
      </c>
      <c r="BB27" s="134" t="s">
        <v>1219</v>
      </c>
      <c r="BC27" s="134" t="s">
        <v>1219</v>
      </c>
      <c r="BD27" s="134" t="s">
        <v>1219</v>
      </c>
      <c r="BE27" s="134" t="s">
        <v>1219</v>
      </c>
      <c r="BF27" s="134" t="s">
        <v>1219</v>
      </c>
      <c r="BG27" s="134" t="s">
        <v>1219</v>
      </c>
      <c r="BH27" s="134" t="s">
        <v>1219</v>
      </c>
      <c r="BI27" s="134" t="s">
        <v>1219</v>
      </c>
      <c r="BJ27" s="134" t="s">
        <v>1219</v>
      </c>
      <c r="BK27" s="134" t="s">
        <v>1219</v>
      </c>
      <c r="BL27" s="134" t="s">
        <v>1219</v>
      </c>
      <c r="BM27" s="134" t="s">
        <v>1219</v>
      </c>
      <c r="BN27" s="134" t="s">
        <v>1219</v>
      </c>
      <c r="BO27" s="134" t="s">
        <v>1219</v>
      </c>
      <c r="BP27" s="134" t="s">
        <v>1219</v>
      </c>
      <c r="BQ27" s="134" t="s">
        <v>1219</v>
      </c>
      <c r="BR27" s="134" t="s">
        <v>1219</v>
      </c>
      <c r="BS27" s="134" t="s">
        <v>1219</v>
      </c>
      <c r="BT27" s="134" t="s">
        <v>1219</v>
      </c>
      <c r="BU27" s="134" t="s">
        <v>1219</v>
      </c>
      <c r="BV27" s="134" t="s">
        <v>1219</v>
      </c>
      <c r="BW27" s="134" t="s">
        <v>1219</v>
      </c>
      <c r="BX27" s="134" t="s">
        <v>1219</v>
      </c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29" t="s">
        <v>1073</v>
      </c>
      <c r="CJ27" s="129" t="s">
        <v>1073</v>
      </c>
      <c r="CK27" s="129" t="s">
        <v>1073</v>
      </c>
      <c r="CL27" s="129" t="s">
        <v>1073</v>
      </c>
      <c r="CM27" s="129" t="s">
        <v>1073</v>
      </c>
      <c r="CN27" s="129" t="s">
        <v>1073</v>
      </c>
      <c r="CO27" s="129" t="s">
        <v>1073</v>
      </c>
      <c r="CP27" s="129" t="s">
        <v>1073</v>
      </c>
      <c r="CQ27" s="129" t="s">
        <v>1073</v>
      </c>
      <c r="CR27" s="129" t="s">
        <v>1073</v>
      </c>
      <c r="CS27" s="129" t="s">
        <v>1073</v>
      </c>
      <c r="CT27" s="129" t="s">
        <v>1073</v>
      </c>
      <c r="CU27" s="129" t="s">
        <v>1073</v>
      </c>
      <c r="CV27" s="129" t="s">
        <v>1073</v>
      </c>
      <c r="CW27" s="129" t="s">
        <v>1073</v>
      </c>
      <c r="CX27" s="129" t="s">
        <v>1073</v>
      </c>
      <c r="CY27" s="129" t="s">
        <v>1073</v>
      </c>
      <c r="CZ27" s="129" t="s">
        <v>1073</v>
      </c>
      <c r="DA27" s="129" t="s">
        <v>1073</v>
      </c>
    </row>
    <row r="28" spans="1:105" ht="14.25">
      <c r="A28" s="133" t="s">
        <v>1073</v>
      </c>
      <c r="B28" s="134" t="s">
        <v>1220</v>
      </c>
      <c r="C28" s="134" t="s">
        <v>1220</v>
      </c>
      <c r="D28" s="134" t="s">
        <v>1220</v>
      </c>
      <c r="E28" s="134" t="s">
        <v>1220</v>
      </c>
      <c r="F28" s="134" t="s">
        <v>1220</v>
      </c>
      <c r="G28" s="134" t="s">
        <v>1220</v>
      </c>
      <c r="H28" s="134" t="s">
        <v>1220</v>
      </c>
      <c r="I28" s="134" t="s">
        <v>1220</v>
      </c>
      <c r="J28" s="134" t="s">
        <v>1220</v>
      </c>
      <c r="K28" s="134" t="s">
        <v>1220</v>
      </c>
      <c r="L28" s="134" t="s">
        <v>1220</v>
      </c>
      <c r="M28" s="134" t="s">
        <v>1220</v>
      </c>
      <c r="N28" s="134" t="s">
        <v>1220</v>
      </c>
      <c r="O28" s="134" t="s">
        <v>1220</v>
      </c>
      <c r="P28" s="134" t="s">
        <v>1220</v>
      </c>
      <c r="Q28" s="134" t="s">
        <v>1220</v>
      </c>
      <c r="R28" s="134" t="s">
        <v>1220</v>
      </c>
      <c r="S28" s="134" t="s">
        <v>1220</v>
      </c>
      <c r="T28" s="134" t="s">
        <v>1220</v>
      </c>
      <c r="U28" s="134" t="s">
        <v>1220</v>
      </c>
      <c r="V28" s="134" t="s">
        <v>1220</v>
      </c>
      <c r="W28" s="134" t="s">
        <v>1220</v>
      </c>
      <c r="X28" s="134" t="s">
        <v>1220</v>
      </c>
      <c r="Y28" s="134" t="s">
        <v>1220</v>
      </c>
      <c r="Z28" s="134" t="s">
        <v>1220</v>
      </c>
      <c r="AA28" s="134" t="s">
        <v>1220</v>
      </c>
      <c r="AB28" s="134" t="s">
        <v>1220</v>
      </c>
      <c r="AC28" s="134" t="s">
        <v>1220</v>
      </c>
      <c r="AD28" s="134" t="s">
        <v>1220</v>
      </c>
      <c r="AE28" s="134" t="s">
        <v>1220</v>
      </c>
      <c r="AF28" s="134" t="s">
        <v>1220</v>
      </c>
      <c r="AG28" s="134" t="s">
        <v>1220</v>
      </c>
      <c r="AH28" s="134" t="s">
        <v>1220</v>
      </c>
      <c r="AI28" s="134" t="s">
        <v>1220</v>
      </c>
      <c r="AJ28" s="134" t="s">
        <v>1220</v>
      </c>
      <c r="AK28" s="134" t="s">
        <v>1220</v>
      </c>
      <c r="AL28" s="134" t="s">
        <v>1220</v>
      </c>
      <c r="AM28" s="134" t="s">
        <v>1220</v>
      </c>
      <c r="AN28" s="134" t="s">
        <v>1220</v>
      </c>
      <c r="AO28" s="134" t="s">
        <v>1220</v>
      </c>
      <c r="AP28" s="134" t="s">
        <v>1220</v>
      </c>
      <c r="AQ28" s="134" t="s">
        <v>1220</v>
      </c>
      <c r="AR28" s="134" t="s">
        <v>1220</v>
      </c>
      <c r="AS28" s="134" t="s">
        <v>1220</v>
      </c>
      <c r="AT28" s="134" t="s">
        <v>1220</v>
      </c>
      <c r="AU28" s="134" t="s">
        <v>1220</v>
      </c>
      <c r="AV28" s="134" t="s">
        <v>1220</v>
      </c>
      <c r="AW28" s="134" t="s">
        <v>1220</v>
      </c>
      <c r="AX28" s="134" t="s">
        <v>1220</v>
      </c>
      <c r="AY28" s="134" t="s">
        <v>1220</v>
      </c>
      <c r="AZ28" s="134" t="s">
        <v>1220</v>
      </c>
      <c r="BA28" s="134" t="s">
        <v>1220</v>
      </c>
      <c r="BB28" s="134" t="s">
        <v>1220</v>
      </c>
      <c r="BC28" s="134" t="s">
        <v>1220</v>
      </c>
      <c r="BD28" s="134" t="s">
        <v>1220</v>
      </c>
      <c r="BE28" s="134" t="s">
        <v>1220</v>
      </c>
      <c r="BF28" s="134" t="s">
        <v>1220</v>
      </c>
      <c r="BG28" s="134" t="s">
        <v>1220</v>
      </c>
      <c r="BH28" s="134" t="s">
        <v>1220</v>
      </c>
      <c r="BI28" s="134" t="s">
        <v>1220</v>
      </c>
      <c r="BJ28" s="134" t="s">
        <v>1220</v>
      </c>
      <c r="BK28" s="134" t="s">
        <v>1220</v>
      </c>
      <c r="BL28" s="134" t="s">
        <v>1220</v>
      </c>
      <c r="BM28" s="134" t="s">
        <v>1220</v>
      </c>
      <c r="BN28" s="134" t="s">
        <v>1220</v>
      </c>
      <c r="BO28" s="134" t="s">
        <v>1220</v>
      </c>
      <c r="BP28" s="134" t="s">
        <v>1220</v>
      </c>
      <c r="BQ28" s="134" t="s">
        <v>1220</v>
      </c>
      <c r="BR28" s="134" t="s">
        <v>1220</v>
      </c>
      <c r="BS28" s="134" t="s">
        <v>1220</v>
      </c>
      <c r="BT28" s="134" t="s">
        <v>1220</v>
      </c>
      <c r="BU28" s="134" t="s">
        <v>1220</v>
      </c>
      <c r="BV28" s="134" t="s">
        <v>1220</v>
      </c>
      <c r="BW28" s="134" t="s">
        <v>1220</v>
      </c>
      <c r="BX28" s="134" t="s">
        <v>1220</v>
      </c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29" t="s">
        <v>1073</v>
      </c>
      <c r="CJ28" s="129" t="s">
        <v>1073</v>
      </c>
      <c r="CK28" s="129" t="s">
        <v>1073</v>
      </c>
      <c r="CL28" s="129" t="s">
        <v>1073</v>
      </c>
      <c r="CM28" s="129" t="s">
        <v>1073</v>
      </c>
      <c r="CN28" s="129" t="s">
        <v>1073</v>
      </c>
      <c r="CO28" s="129" t="s">
        <v>1073</v>
      </c>
      <c r="CP28" s="129" t="s">
        <v>1073</v>
      </c>
      <c r="CQ28" s="129" t="s">
        <v>1073</v>
      </c>
      <c r="CR28" s="129" t="s">
        <v>1073</v>
      </c>
      <c r="CS28" s="129" t="s">
        <v>1073</v>
      </c>
      <c r="CT28" s="129" t="s">
        <v>1073</v>
      </c>
      <c r="CU28" s="129" t="s">
        <v>1073</v>
      </c>
      <c r="CV28" s="129" t="s">
        <v>1073</v>
      </c>
      <c r="CW28" s="129" t="s">
        <v>1073</v>
      </c>
      <c r="CX28" s="129" t="s">
        <v>1073</v>
      </c>
      <c r="CY28" s="129" t="s">
        <v>1073</v>
      </c>
      <c r="CZ28" s="129" t="s">
        <v>1073</v>
      </c>
      <c r="DA28" s="129" t="s">
        <v>1073</v>
      </c>
    </row>
    <row r="29" spans="1:105" ht="14.25">
      <c r="A29" s="133" t="s">
        <v>1073</v>
      </c>
      <c r="B29" s="134" t="s">
        <v>1208</v>
      </c>
      <c r="C29" s="134" t="s">
        <v>1208</v>
      </c>
      <c r="D29" s="134" t="s">
        <v>1208</v>
      </c>
      <c r="E29" s="134" t="s">
        <v>1208</v>
      </c>
      <c r="F29" s="134" t="s">
        <v>1208</v>
      </c>
      <c r="G29" s="134" t="s">
        <v>1208</v>
      </c>
      <c r="H29" s="134" t="s">
        <v>1208</v>
      </c>
      <c r="I29" s="134" t="s">
        <v>1208</v>
      </c>
      <c r="J29" s="134" t="s">
        <v>1208</v>
      </c>
      <c r="K29" s="134" t="s">
        <v>1208</v>
      </c>
      <c r="L29" s="134" t="s">
        <v>1208</v>
      </c>
      <c r="M29" s="134" t="s">
        <v>1208</v>
      </c>
      <c r="N29" s="134" t="s">
        <v>1208</v>
      </c>
      <c r="O29" s="134" t="s">
        <v>1208</v>
      </c>
      <c r="P29" s="134" t="s">
        <v>1208</v>
      </c>
      <c r="Q29" s="134" t="s">
        <v>1208</v>
      </c>
      <c r="R29" s="134" t="s">
        <v>1208</v>
      </c>
      <c r="S29" s="134" t="s">
        <v>1208</v>
      </c>
      <c r="T29" s="134" t="s">
        <v>1208</v>
      </c>
      <c r="U29" s="134" t="s">
        <v>1208</v>
      </c>
      <c r="V29" s="134" t="s">
        <v>1208</v>
      </c>
      <c r="W29" s="134" t="s">
        <v>1208</v>
      </c>
      <c r="X29" s="134" t="s">
        <v>1208</v>
      </c>
      <c r="Y29" s="134" t="s">
        <v>1208</v>
      </c>
      <c r="Z29" s="134" t="s">
        <v>1208</v>
      </c>
      <c r="AA29" s="134" t="s">
        <v>1208</v>
      </c>
      <c r="AB29" s="134" t="s">
        <v>1208</v>
      </c>
      <c r="AC29" s="134" t="s">
        <v>1208</v>
      </c>
      <c r="AD29" s="134" t="s">
        <v>1208</v>
      </c>
      <c r="AE29" s="134" t="s">
        <v>1208</v>
      </c>
      <c r="AF29" s="134" t="s">
        <v>1208</v>
      </c>
      <c r="AG29" s="134" t="s">
        <v>1208</v>
      </c>
      <c r="AH29" s="134" t="s">
        <v>1208</v>
      </c>
      <c r="AI29" s="134" t="s">
        <v>1208</v>
      </c>
      <c r="AJ29" s="134" t="s">
        <v>1208</v>
      </c>
      <c r="AK29" s="134" t="s">
        <v>1208</v>
      </c>
      <c r="AL29" s="134" t="s">
        <v>1208</v>
      </c>
      <c r="AM29" s="134" t="s">
        <v>1208</v>
      </c>
      <c r="AN29" s="134" t="s">
        <v>1208</v>
      </c>
      <c r="AO29" s="134" t="s">
        <v>1208</v>
      </c>
      <c r="AP29" s="134" t="s">
        <v>1208</v>
      </c>
      <c r="AQ29" s="134" t="s">
        <v>1208</v>
      </c>
      <c r="AR29" s="134" t="s">
        <v>1208</v>
      </c>
      <c r="AS29" s="134" t="s">
        <v>1208</v>
      </c>
      <c r="AT29" s="134" t="s">
        <v>1208</v>
      </c>
      <c r="AU29" s="134" t="s">
        <v>1208</v>
      </c>
      <c r="AV29" s="134" t="s">
        <v>1208</v>
      </c>
      <c r="AW29" s="134" t="s">
        <v>1208</v>
      </c>
      <c r="AX29" s="134" t="s">
        <v>1208</v>
      </c>
      <c r="AY29" s="134" t="s">
        <v>1208</v>
      </c>
      <c r="AZ29" s="134" t="s">
        <v>1208</v>
      </c>
      <c r="BA29" s="134" t="s">
        <v>1208</v>
      </c>
      <c r="BB29" s="134" t="s">
        <v>1208</v>
      </c>
      <c r="BC29" s="134" t="s">
        <v>1208</v>
      </c>
      <c r="BD29" s="134" t="s">
        <v>1208</v>
      </c>
      <c r="BE29" s="134" t="s">
        <v>1208</v>
      </c>
      <c r="BF29" s="134" t="s">
        <v>1208</v>
      </c>
      <c r="BG29" s="134" t="s">
        <v>1208</v>
      </c>
      <c r="BH29" s="134" t="s">
        <v>1208</v>
      </c>
      <c r="BI29" s="134" t="s">
        <v>1208</v>
      </c>
      <c r="BJ29" s="134" t="s">
        <v>1208</v>
      </c>
      <c r="BK29" s="134" t="s">
        <v>1208</v>
      </c>
      <c r="BL29" s="134" t="s">
        <v>1208</v>
      </c>
      <c r="BM29" s="134" t="s">
        <v>1208</v>
      </c>
      <c r="BN29" s="134" t="s">
        <v>1208</v>
      </c>
      <c r="BO29" s="134" t="s">
        <v>1208</v>
      </c>
      <c r="BP29" s="134" t="s">
        <v>1208</v>
      </c>
      <c r="BQ29" s="134" t="s">
        <v>1208</v>
      </c>
      <c r="BR29" s="134" t="s">
        <v>1208</v>
      </c>
      <c r="BS29" s="134" t="s">
        <v>1208</v>
      </c>
      <c r="BT29" s="134" t="s">
        <v>1208</v>
      </c>
      <c r="BU29" s="134" t="s">
        <v>1208</v>
      </c>
      <c r="BV29" s="134" t="s">
        <v>1208</v>
      </c>
      <c r="BW29" s="134" t="s">
        <v>1208</v>
      </c>
      <c r="BX29" s="134" t="s">
        <v>1208</v>
      </c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29" t="s">
        <v>1073</v>
      </c>
      <c r="CJ29" s="129" t="s">
        <v>1073</v>
      </c>
      <c r="CK29" s="129" t="s">
        <v>1073</v>
      </c>
      <c r="CL29" s="129" t="s">
        <v>1073</v>
      </c>
      <c r="CM29" s="129" t="s">
        <v>1073</v>
      </c>
      <c r="CN29" s="129" t="s">
        <v>1073</v>
      </c>
      <c r="CO29" s="129" t="s">
        <v>1073</v>
      </c>
      <c r="CP29" s="129" t="s">
        <v>1073</v>
      </c>
      <c r="CQ29" s="129" t="s">
        <v>1073</v>
      </c>
      <c r="CR29" s="129" t="s">
        <v>1073</v>
      </c>
      <c r="CS29" s="129" t="s">
        <v>1073</v>
      </c>
      <c r="CT29" s="129" t="s">
        <v>1073</v>
      </c>
      <c r="CU29" s="129" t="s">
        <v>1073</v>
      </c>
      <c r="CV29" s="129" t="s">
        <v>1073</v>
      </c>
      <c r="CW29" s="129" t="s">
        <v>1073</v>
      </c>
      <c r="CX29" s="129" t="s">
        <v>1073</v>
      </c>
      <c r="CY29" s="129" t="s">
        <v>1073</v>
      </c>
      <c r="CZ29" s="129" t="s">
        <v>1073</v>
      </c>
      <c r="DA29" s="129" t="s">
        <v>1073</v>
      </c>
    </row>
    <row r="30" spans="1:105" ht="14.25">
      <c r="A30" s="133" t="s">
        <v>1073</v>
      </c>
      <c r="B30" s="134" t="s">
        <v>1217</v>
      </c>
      <c r="C30" s="134" t="s">
        <v>1217</v>
      </c>
      <c r="D30" s="134" t="s">
        <v>1217</v>
      </c>
      <c r="E30" s="134" t="s">
        <v>1217</v>
      </c>
      <c r="F30" s="134" t="s">
        <v>1217</v>
      </c>
      <c r="G30" s="134" t="s">
        <v>1217</v>
      </c>
      <c r="H30" s="134" t="s">
        <v>1217</v>
      </c>
      <c r="I30" s="134" t="s">
        <v>1217</v>
      </c>
      <c r="J30" s="134" t="s">
        <v>1217</v>
      </c>
      <c r="K30" s="134" t="s">
        <v>1217</v>
      </c>
      <c r="L30" s="134" t="s">
        <v>1217</v>
      </c>
      <c r="M30" s="134" t="s">
        <v>1217</v>
      </c>
      <c r="N30" s="134" t="s">
        <v>1217</v>
      </c>
      <c r="O30" s="134" t="s">
        <v>1217</v>
      </c>
      <c r="P30" s="134" t="s">
        <v>1217</v>
      </c>
      <c r="Q30" s="134" t="s">
        <v>1217</v>
      </c>
      <c r="R30" s="134" t="s">
        <v>1217</v>
      </c>
      <c r="S30" s="134" t="s">
        <v>1217</v>
      </c>
      <c r="T30" s="134" t="s">
        <v>1217</v>
      </c>
      <c r="U30" s="134" t="s">
        <v>1217</v>
      </c>
      <c r="V30" s="134" t="s">
        <v>1217</v>
      </c>
      <c r="W30" s="134" t="s">
        <v>1217</v>
      </c>
      <c r="X30" s="134" t="s">
        <v>1217</v>
      </c>
      <c r="Y30" s="134" t="s">
        <v>1217</v>
      </c>
      <c r="Z30" s="134" t="s">
        <v>1217</v>
      </c>
      <c r="AA30" s="134" t="s">
        <v>1217</v>
      </c>
      <c r="AB30" s="134" t="s">
        <v>1217</v>
      </c>
      <c r="AC30" s="134" t="s">
        <v>1217</v>
      </c>
      <c r="AD30" s="134" t="s">
        <v>1217</v>
      </c>
      <c r="AE30" s="134" t="s">
        <v>1217</v>
      </c>
      <c r="AF30" s="134" t="s">
        <v>1217</v>
      </c>
      <c r="AG30" s="134" t="s">
        <v>1217</v>
      </c>
      <c r="AH30" s="134" t="s">
        <v>1217</v>
      </c>
      <c r="AI30" s="134" t="s">
        <v>1217</v>
      </c>
      <c r="AJ30" s="134" t="s">
        <v>1217</v>
      </c>
      <c r="AK30" s="134" t="s">
        <v>1217</v>
      </c>
      <c r="AL30" s="134" t="s">
        <v>1217</v>
      </c>
      <c r="AM30" s="134" t="s">
        <v>1217</v>
      </c>
      <c r="AN30" s="134" t="s">
        <v>1217</v>
      </c>
      <c r="AO30" s="134" t="s">
        <v>1217</v>
      </c>
      <c r="AP30" s="134" t="s">
        <v>1217</v>
      </c>
      <c r="AQ30" s="134" t="s">
        <v>1217</v>
      </c>
      <c r="AR30" s="134" t="s">
        <v>1217</v>
      </c>
      <c r="AS30" s="134" t="s">
        <v>1217</v>
      </c>
      <c r="AT30" s="134" t="s">
        <v>1217</v>
      </c>
      <c r="AU30" s="134" t="s">
        <v>1217</v>
      </c>
      <c r="AV30" s="134" t="s">
        <v>1217</v>
      </c>
      <c r="AW30" s="134" t="s">
        <v>1217</v>
      </c>
      <c r="AX30" s="134" t="s">
        <v>1217</v>
      </c>
      <c r="AY30" s="134" t="s">
        <v>1217</v>
      </c>
      <c r="AZ30" s="134" t="s">
        <v>1217</v>
      </c>
      <c r="BA30" s="134" t="s">
        <v>1217</v>
      </c>
      <c r="BB30" s="134" t="s">
        <v>1217</v>
      </c>
      <c r="BC30" s="134" t="s">
        <v>1217</v>
      </c>
      <c r="BD30" s="134" t="s">
        <v>1217</v>
      </c>
      <c r="BE30" s="134" t="s">
        <v>1217</v>
      </c>
      <c r="BF30" s="134" t="s">
        <v>1217</v>
      </c>
      <c r="BG30" s="134" t="s">
        <v>1217</v>
      </c>
      <c r="BH30" s="134" t="s">
        <v>1217</v>
      </c>
      <c r="BI30" s="134" t="s">
        <v>1217</v>
      </c>
      <c r="BJ30" s="134" t="s">
        <v>1217</v>
      </c>
      <c r="BK30" s="134" t="s">
        <v>1217</v>
      </c>
      <c r="BL30" s="134" t="s">
        <v>1217</v>
      </c>
      <c r="BM30" s="134" t="s">
        <v>1217</v>
      </c>
      <c r="BN30" s="134" t="s">
        <v>1217</v>
      </c>
      <c r="BO30" s="134" t="s">
        <v>1217</v>
      </c>
      <c r="BP30" s="134" t="s">
        <v>1217</v>
      </c>
      <c r="BQ30" s="134" t="s">
        <v>1217</v>
      </c>
      <c r="BR30" s="134" t="s">
        <v>1217</v>
      </c>
      <c r="BS30" s="134" t="s">
        <v>1217</v>
      </c>
      <c r="BT30" s="134" t="s">
        <v>1217</v>
      </c>
      <c r="BU30" s="134" t="s">
        <v>1217</v>
      </c>
      <c r="BV30" s="134" t="s">
        <v>1217</v>
      </c>
      <c r="BW30" s="134" t="s">
        <v>1217</v>
      </c>
      <c r="BX30" s="134" t="s">
        <v>1217</v>
      </c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29" t="s">
        <v>1073</v>
      </c>
      <c r="CJ30" s="129" t="s">
        <v>1073</v>
      </c>
      <c r="CK30" s="129" t="s">
        <v>1073</v>
      </c>
      <c r="CL30" s="129" t="s">
        <v>1073</v>
      </c>
      <c r="CM30" s="129" t="s">
        <v>1073</v>
      </c>
      <c r="CN30" s="129" t="s">
        <v>1073</v>
      </c>
      <c r="CO30" s="129" t="s">
        <v>1073</v>
      </c>
      <c r="CP30" s="129" t="s">
        <v>1073</v>
      </c>
      <c r="CQ30" s="129" t="s">
        <v>1073</v>
      </c>
      <c r="CR30" s="129" t="s">
        <v>1073</v>
      </c>
      <c r="CS30" s="129" t="s">
        <v>1073</v>
      </c>
      <c r="CT30" s="129" t="s">
        <v>1073</v>
      </c>
      <c r="CU30" s="129" t="s">
        <v>1073</v>
      </c>
      <c r="CV30" s="129" t="s">
        <v>1073</v>
      </c>
      <c r="CW30" s="129" t="s">
        <v>1073</v>
      </c>
      <c r="CX30" s="129" t="s">
        <v>1073</v>
      </c>
      <c r="CY30" s="129" t="s">
        <v>1073</v>
      </c>
      <c r="CZ30" s="129" t="s">
        <v>1073</v>
      </c>
      <c r="DA30" s="129" t="s">
        <v>1073</v>
      </c>
    </row>
    <row r="31" spans="1:105" ht="14.25">
      <c r="A31" s="133"/>
      <c r="B31" s="136" t="s">
        <v>1073</v>
      </c>
      <c r="C31" s="136" t="s">
        <v>1073</v>
      </c>
      <c r="D31" s="136" t="s">
        <v>1073</v>
      </c>
      <c r="E31" s="136" t="s">
        <v>1073</v>
      </c>
      <c r="F31" s="136" t="s">
        <v>1073</v>
      </c>
      <c r="G31" s="136" t="s">
        <v>1073</v>
      </c>
      <c r="H31" s="136" t="s">
        <v>1073</v>
      </c>
      <c r="I31" s="136" t="s">
        <v>1073</v>
      </c>
      <c r="J31" s="136" t="s">
        <v>1073</v>
      </c>
      <c r="K31" s="136" t="s">
        <v>1073</v>
      </c>
      <c r="L31" s="136" t="s">
        <v>1073</v>
      </c>
      <c r="M31" s="136" t="s">
        <v>1073</v>
      </c>
      <c r="N31" s="136" t="s">
        <v>1073</v>
      </c>
      <c r="O31" s="136" t="s">
        <v>1073</v>
      </c>
      <c r="P31" s="136" t="s">
        <v>1073</v>
      </c>
      <c r="Q31" s="136" t="s">
        <v>1073</v>
      </c>
      <c r="R31" s="136" t="s">
        <v>1073</v>
      </c>
      <c r="S31" s="136" t="s">
        <v>1073</v>
      </c>
      <c r="T31" s="136" t="s">
        <v>1073</v>
      </c>
      <c r="U31" s="136" t="s">
        <v>1073</v>
      </c>
      <c r="V31" s="136" t="s">
        <v>1073</v>
      </c>
      <c r="W31" s="136" t="s">
        <v>1073</v>
      </c>
      <c r="X31" s="136" t="s">
        <v>1073</v>
      </c>
      <c r="Y31" s="136" t="s">
        <v>1073</v>
      </c>
      <c r="Z31" s="136" t="s">
        <v>1073</v>
      </c>
      <c r="AA31" s="136" t="s">
        <v>1073</v>
      </c>
      <c r="AB31" s="136" t="s">
        <v>1073</v>
      </c>
      <c r="AC31" s="136" t="s">
        <v>1073</v>
      </c>
      <c r="AD31" s="136" t="s">
        <v>1073</v>
      </c>
      <c r="AE31" s="136" t="s">
        <v>1073</v>
      </c>
      <c r="AF31" s="136" t="s">
        <v>1073</v>
      </c>
      <c r="AG31" s="136" t="s">
        <v>1073</v>
      </c>
      <c r="AH31" s="136" t="s">
        <v>1073</v>
      </c>
      <c r="AI31" s="136" t="s">
        <v>1073</v>
      </c>
      <c r="AJ31" s="136" t="s">
        <v>1073</v>
      </c>
      <c r="AK31" s="136" t="s">
        <v>1073</v>
      </c>
      <c r="AL31" s="136" t="s">
        <v>1073</v>
      </c>
      <c r="AM31" s="136" t="s">
        <v>1073</v>
      </c>
      <c r="AN31" s="136" t="s">
        <v>1073</v>
      </c>
      <c r="AO31" s="136" t="s">
        <v>1073</v>
      </c>
      <c r="AP31" s="136" t="s">
        <v>1073</v>
      </c>
      <c r="AQ31" s="136" t="s">
        <v>1073</v>
      </c>
      <c r="AR31" s="136" t="s">
        <v>1073</v>
      </c>
      <c r="AS31" s="136" t="s">
        <v>1073</v>
      </c>
      <c r="AT31" s="136" t="s">
        <v>1073</v>
      </c>
      <c r="AU31" s="136" t="s">
        <v>1073</v>
      </c>
      <c r="AV31" s="136" t="s">
        <v>1073</v>
      </c>
      <c r="AW31" s="136" t="s">
        <v>1073</v>
      </c>
      <c r="AX31" s="136" t="s">
        <v>1073</v>
      </c>
      <c r="AY31" s="136" t="s">
        <v>1073</v>
      </c>
      <c r="AZ31" s="136" t="s">
        <v>1073</v>
      </c>
      <c r="BA31" s="136" t="s">
        <v>1073</v>
      </c>
      <c r="BB31" s="136" t="s">
        <v>1073</v>
      </c>
      <c r="BC31" s="136" t="s">
        <v>1073</v>
      </c>
      <c r="BD31" s="136" t="s">
        <v>1073</v>
      </c>
      <c r="BE31" s="139" t="str">
        <f>IF(Configurator!$L$7&gt;"-307","24Vdc (+6 binary inputs and 3 output relays)"," ")</f>
        <v>24Vdc (+6 binary inputs and 3 output relays)</v>
      </c>
      <c r="BF31" s="136" t="s">
        <v>1073</v>
      </c>
      <c r="BG31" s="139" t="str">
        <f>IF(Configurator!$L$7&gt;"-307","24Vdc (+6 binary inputs and 3 output relays)"," ")</f>
        <v>24Vdc (+6 binary inputs and 3 output relays)</v>
      </c>
      <c r="BH31" s="139" t="str">
        <f>IF(Configurator!$L$7&gt;"-307","24Vdc (+6 binary inputs and 3 output relays)"," ")</f>
        <v>24Vdc (+6 binary inputs and 3 output relays)</v>
      </c>
      <c r="BI31" s="136" t="s">
        <v>1073</v>
      </c>
      <c r="BJ31" s="136" t="s">
        <v>1073</v>
      </c>
      <c r="BK31" s="139" t="str">
        <f>IF(Configurator!$L$7&gt;"-307","24Vdc (+6 binary inputs and 3 output relays)"," ")</f>
        <v>24Vdc (+6 binary inputs and 3 output relays)</v>
      </c>
      <c r="BL31" s="139" t="str">
        <f>IF(Configurator!$L$7&gt;"-307","24Vdc (+6 binary inputs and 3 output relays)"," ")</f>
        <v>24Vdc (+6 binary inputs and 3 output relays)</v>
      </c>
      <c r="BM31" s="139" t="str">
        <f>IF(Configurator!$L$7&gt;"-307","24Vdc (+6 binary inputs and 3 output relays)"," ")</f>
        <v>24Vdc (+6 binary inputs and 3 output relays)</v>
      </c>
      <c r="BN31" s="139" t="str">
        <f>IF(Configurator!$L$7&gt;"-307","24Vdc (+6 binary inputs and 3 output relays)"," ")</f>
        <v>24Vdc (+6 binary inputs and 3 output relays)</v>
      </c>
      <c r="BO31" s="139" t="str">
        <f>IF(Configurator!$L$7&gt;"-307","24Vdc (+6 binary inputs and 3 output relays)"," ")</f>
        <v>24Vdc (+6 binary inputs and 3 output relays)</v>
      </c>
      <c r="BP31" s="136" t="s">
        <v>1073</v>
      </c>
      <c r="BQ31" s="139" t="str">
        <f>IF(Configurator!$L$7&gt;"-307","24Vdc (+6 binary inputs and 3 output relays)"," ")</f>
        <v>24Vdc (+6 binary inputs and 3 output relays)</v>
      </c>
      <c r="BR31" s="139" t="str">
        <f>IF(Configurator!$L$7&gt;"-307","24Vdc (+6 binary inputs and 3 output relays)"," ")</f>
        <v>24Vdc (+6 binary inputs and 3 output relays)</v>
      </c>
      <c r="BS31" s="139" t="str">
        <f>IF(Configurator!$L$7&gt;"-307","24Vdc (+6 binary inputs and 3 output relays)"," ")</f>
        <v>24Vdc (+6 binary inputs and 3 output relays)</v>
      </c>
      <c r="BT31" s="139" t="str">
        <f>IF(Configurator!$L$7&gt;"-307","24Vdc (+6 binary inputs and 3 output relays)"," ")</f>
        <v>24Vdc (+6 binary inputs and 3 output relays)</v>
      </c>
      <c r="BU31" s="136" t="s">
        <v>1073</v>
      </c>
      <c r="BV31" s="139" t="str">
        <f>IF(Configurator!$L$7&gt;"-307","24Vdc (+6 binary inputs and 3 output relays)"," ")</f>
        <v>24Vdc (+6 binary inputs and 3 output relays)</v>
      </c>
      <c r="BW31" s="139" t="str">
        <f>IF(Configurator!$L$7&gt;"-307","24Vdc (+6 binary inputs and 3 output relays)"," ")</f>
        <v>24Vdc (+6 binary inputs and 3 output relays)</v>
      </c>
      <c r="BX31" s="139" t="str">
        <f>IF(Configurator!$L$7&gt;"-307","24Vdc (+6 binary inputs and 3 output relays)"," ")</f>
        <v>24Vdc (+6 binary inputs and 3 output relays)</v>
      </c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</row>
    <row r="32" spans="1:105" ht="14.25">
      <c r="A32" s="133"/>
      <c r="B32" s="136" t="s">
        <v>1073</v>
      </c>
      <c r="C32" s="136" t="s">
        <v>1073</v>
      </c>
      <c r="D32" s="136" t="s">
        <v>1073</v>
      </c>
      <c r="E32" s="136" t="s">
        <v>1073</v>
      </c>
      <c r="F32" s="136" t="s">
        <v>1073</v>
      </c>
      <c r="G32" s="136" t="s">
        <v>1073</v>
      </c>
      <c r="H32" s="136" t="s">
        <v>1073</v>
      </c>
      <c r="I32" s="136" t="s">
        <v>1073</v>
      </c>
      <c r="J32" s="136" t="s">
        <v>1073</v>
      </c>
      <c r="K32" s="136" t="s">
        <v>1073</v>
      </c>
      <c r="L32" s="136" t="s">
        <v>1073</v>
      </c>
      <c r="M32" s="136" t="s">
        <v>1073</v>
      </c>
      <c r="N32" s="136" t="s">
        <v>1073</v>
      </c>
      <c r="O32" s="136" t="s">
        <v>1073</v>
      </c>
      <c r="P32" s="136" t="s">
        <v>1073</v>
      </c>
      <c r="Q32" s="136" t="s">
        <v>1073</v>
      </c>
      <c r="R32" s="136" t="s">
        <v>1073</v>
      </c>
      <c r="S32" s="136" t="s">
        <v>1073</v>
      </c>
      <c r="T32" s="136" t="s">
        <v>1073</v>
      </c>
      <c r="U32" s="136" t="s">
        <v>1073</v>
      </c>
      <c r="V32" s="136" t="s">
        <v>1073</v>
      </c>
      <c r="W32" s="136" t="s">
        <v>1073</v>
      </c>
      <c r="X32" s="136" t="s">
        <v>1073</v>
      </c>
      <c r="Y32" s="136" t="s">
        <v>1073</v>
      </c>
      <c r="Z32" s="136" t="s">
        <v>1073</v>
      </c>
      <c r="AA32" s="136" t="s">
        <v>1073</v>
      </c>
      <c r="AB32" s="136" t="s">
        <v>1073</v>
      </c>
      <c r="AC32" s="136" t="s">
        <v>1073</v>
      </c>
      <c r="AD32" s="136" t="s">
        <v>1073</v>
      </c>
      <c r="AE32" s="136" t="s">
        <v>1073</v>
      </c>
      <c r="AF32" s="136" t="s">
        <v>1073</v>
      </c>
      <c r="AG32" s="136" t="s">
        <v>1073</v>
      </c>
      <c r="AH32" s="136" t="s">
        <v>1073</v>
      </c>
      <c r="AI32" s="136" t="s">
        <v>1073</v>
      </c>
      <c r="AJ32" s="136" t="s">
        <v>1073</v>
      </c>
      <c r="AK32" s="136" t="s">
        <v>1073</v>
      </c>
      <c r="AL32" s="136" t="s">
        <v>1073</v>
      </c>
      <c r="AM32" s="136" t="s">
        <v>1073</v>
      </c>
      <c r="AN32" s="136" t="s">
        <v>1073</v>
      </c>
      <c r="AO32" s="136" t="s">
        <v>1073</v>
      </c>
      <c r="AP32" s="136" t="s">
        <v>1073</v>
      </c>
      <c r="AQ32" s="136" t="s">
        <v>1073</v>
      </c>
      <c r="AR32" s="136" t="s">
        <v>1073</v>
      </c>
      <c r="AS32" s="136" t="s">
        <v>1073</v>
      </c>
      <c r="AT32" s="136" t="s">
        <v>1073</v>
      </c>
      <c r="AU32" s="136" t="s">
        <v>1073</v>
      </c>
      <c r="AV32" s="136" t="s">
        <v>1073</v>
      </c>
      <c r="AW32" s="136" t="s">
        <v>1073</v>
      </c>
      <c r="AX32" s="136" t="s">
        <v>1073</v>
      </c>
      <c r="AY32" s="136" t="s">
        <v>1073</v>
      </c>
      <c r="AZ32" s="136" t="s">
        <v>1073</v>
      </c>
      <c r="BA32" s="136" t="s">
        <v>1073</v>
      </c>
      <c r="BB32" s="136" t="s">
        <v>1073</v>
      </c>
      <c r="BC32" s="136" t="s">
        <v>1073</v>
      </c>
      <c r="BD32" s="136" t="s">
        <v>1073</v>
      </c>
      <c r="BE32" s="139" t="str">
        <f>IF(Configurator!$L$7&gt;"-307","48 to 250Vdc / 100 to 230Vac (+6 binary inputs and 3 output relays)"," ")</f>
        <v>48 to 250Vdc / 100 to 230Vac (+6 binary inputs and 3 output relays)</v>
      </c>
      <c r="BF32" s="136" t="s">
        <v>1073</v>
      </c>
      <c r="BG32" s="139" t="str">
        <f>IF(Configurator!$L$7&gt;"-307","48 to 250Vdc / 100 to 230Vac (+6 binary inputs and 3 output relays)"," ")</f>
        <v>48 to 250Vdc / 100 to 230Vac (+6 binary inputs and 3 output relays)</v>
      </c>
      <c r="BH32" s="139" t="str">
        <f>IF(Configurator!$L$7&gt;"-307","48 to 250Vdc / 100 to 230Vac (+6 binary inputs and 3 output relays)"," ")</f>
        <v>48 to 250Vdc / 100 to 230Vac (+6 binary inputs and 3 output relays)</v>
      </c>
      <c r="BI32" s="136" t="s">
        <v>1073</v>
      </c>
      <c r="BJ32" s="136" t="s">
        <v>1073</v>
      </c>
      <c r="BK32" s="139" t="str">
        <f>IF(Configurator!$L$7&gt;"-307","48 to 250Vdc / 100 to 230Vac (+6 binary inputs and 3 output relays)"," ")</f>
        <v>48 to 250Vdc / 100 to 230Vac (+6 binary inputs and 3 output relays)</v>
      </c>
      <c r="BL32" s="139" t="str">
        <f>IF(Configurator!$L$7&gt;"-307","48 to 250Vdc / 100 to 230Vac (+6 binary inputs and 3 output relays)"," ")</f>
        <v>48 to 250Vdc / 100 to 230Vac (+6 binary inputs and 3 output relays)</v>
      </c>
      <c r="BM32" s="139" t="str">
        <f>IF(Configurator!$L$7&gt;"-307","48 to 250Vdc / 100 to 230Vac (+6 binary inputs and 3 output relays)"," ")</f>
        <v>48 to 250Vdc / 100 to 230Vac (+6 binary inputs and 3 output relays)</v>
      </c>
      <c r="BN32" s="139" t="str">
        <f>IF(Configurator!$L$7&gt;"-307","48 to 250Vdc / 100 to 230Vac (+6 binary inputs and 3 output relays)"," ")</f>
        <v>48 to 250Vdc / 100 to 230Vac (+6 binary inputs and 3 output relays)</v>
      </c>
      <c r="BO32" s="139" t="str">
        <f>IF(Configurator!$L$7&gt;"-307","48 to 250Vdc / 100 to 230Vac (+6 binary inputs and 3 output relays)"," ")</f>
        <v>48 to 250Vdc / 100 to 230Vac (+6 binary inputs and 3 output relays)</v>
      </c>
      <c r="BP32" s="136" t="s">
        <v>1073</v>
      </c>
      <c r="BQ32" s="139" t="str">
        <f>IF(Configurator!$L$7&gt;"-307","48 to 250Vdc / 100 to 230Vac (+6 binary inputs and 3 output relays)"," ")</f>
        <v>48 to 250Vdc / 100 to 230Vac (+6 binary inputs and 3 output relays)</v>
      </c>
      <c r="BR32" s="139" t="str">
        <f>IF(Configurator!$L$7&gt;"-307","48 to 250Vdc / 100 to 230Vac (+6 binary inputs and 3 output relays)"," ")</f>
        <v>48 to 250Vdc / 100 to 230Vac (+6 binary inputs and 3 output relays)</v>
      </c>
      <c r="BS32" s="139" t="str">
        <f>IF(Configurator!$L$7&gt;"-307","48 to 250Vdc / 100 to 230Vac (+6 binary inputs and 3 output relays)"," ")</f>
        <v>48 to 250Vdc / 100 to 230Vac (+6 binary inputs and 3 output relays)</v>
      </c>
      <c r="BT32" s="139" t="str">
        <f>IF(Configurator!$L$7&gt;"-307","48 to 250Vdc / 100 to 230Vac (+6 binary inputs and 3 output relays)"," ")</f>
        <v>48 to 250Vdc / 100 to 230Vac (+6 binary inputs and 3 output relays)</v>
      </c>
      <c r="BU32" s="136" t="s">
        <v>1073</v>
      </c>
      <c r="BV32" s="139" t="str">
        <f>IF(Configurator!$L$7&gt;"-307","48 to 250Vdc / 100 to 230Vac (+6 binary inputs and 3 output relays)"," ")</f>
        <v>48 to 250Vdc / 100 to 230Vac (+6 binary inputs and 3 output relays)</v>
      </c>
      <c r="BW32" s="139" t="str">
        <f>IF(Configurator!$L$7&gt;"-307","48 to 250Vdc / 100 to 230Vac (+6 binary inputs and 3 output relays)"," ")</f>
        <v>48 to 250Vdc / 100 to 230Vac (+6 binary inputs and 3 output relays)</v>
      </c>
      <c r="BX32" s="139" t="str">
        <f>IF(Configurator!$L$7&gt;"-307","48 to 250Vdc / 100 to 230Vac (+6 binary inputs and 3 output relays)"," ")</f>
        <v>48 to 250Vdc / 100 to 230Vac (+6 binary inputs and 3 output relays)</v>
      </c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</row>
    <row r="33" spans="1:105" ht="14.25">
      <c r="A33" s="133"/>
      <c r="B33" s="136" t="s">
        <v>1073</v>
      </c>
      <c r="C33" s="136" t="s">
        <v>1073</v>
      </c>
      <c r="D33" s="136" t="s">
        <v>1073</v>
      </c>
      <c r="E33" s="136" t="s">
        <v>1073</v>
      </c>
      <c r="F33" s="136" t="s">
        <v>1073</v>
      </c>
      <c r="G33" s="136" t="s">
        <v>1073</v>
      </c>
      <c r="H33" s="136" t="s">
        <v>1073</v>
      </c>
      <c r="I33" s="136" t="s">
        <v>1073</v>
      </c>
      <c r="J33" s="136" t="s">
        <v>1073</v>
      </c>
      <c r="K33" s="136" t="s">
        <v>1073</v>
      </c>
      <c r="L33" s="136" t="s">
        <v>1073</v>
      </c>
      <c r="M33" s="136" t="s">
        <v>1073</v>
      </c>
      <c r="N33" s="136" t="s">
        <v>1073</v>
      </c>
      <c r="O33" s="136" t="s">
        <v>1073</v>
      </c>
      <c r="P33" s="136" t="s">
        <v>1073</v>
      </c>
      <c r="Q33" s="136" t="s">
        <v>1073</v>
      </c>
      <c r="R33" s="136" t="s">
        <v>1073</v>
      </c>
      <c r="S33" s="136" t="s">
        <v>1073</v>
      </c>
      <c r="T33" s="136" t="s">
        <v>1073</v>
      </c>
      <c r="U33" s="136" t="s">
        <v>1073</v>
      </c>
      <c r="V33" s="136" t="s">
        <v>1073</v>
      </c>
      <c r="W33" s="136" t="s">
        <v>1073</v>
      </c>
      <c r="X33" s="136" t="s">
        <v>1073</v>
      </c>
      <c r="Y33" s="136" t="s">
        <v>1073</v>
      </c>
      <c r="Z33" s="136" t="s">
        <v>1073</v>
      </c>
      <c r="AA33" s="136" t="s">
        <v>1073</v>
      </c>
      <c r="AB33" s="136" t="s">
        <v>1073</v>
      </c>
      <c r="AC33" s="136" t="s">
        <v>1073</v>
      </c>
      <c r="AD33" s="136" t="s">
        <v>1073</v>
      </c>
      <c r="AE33" s="136" t="s">
        <v>1073</v>
      </c>
      <c r="AF33" s="136" t="s">
        <v>1073</v>
      </c>
      <c r="AG33" s="136" t="s">
        <v>1073</v>
      </c>
      <c r="AH33" s="136" t="s">
        <v>1073</v>
      </c>
      <c r="AI33" s="136" t="s">
        <v>1073</v>
      </c>
      <c r="AJ33" s="136" t="s">
        <v>1073</v>
      </c>
      <c r="AK33" s="136" t="s">
        <v>1073</v>
      </c>
      <c r="AL33" s="136" t="s">
        <v>1073</v>
      </c>
      <c r="AM33" s="136" t="s">
        <v>1073</v>
      </c>
      <c r="AN33" s="136" t="s">
        <v>1073</v>
      </c>
      <c r="AO33" s="136" t="s">
        <v>1073</v>
      </c>
      <c r="AP33" s="136" t="s">
        <v>1073</v>
      </c>
      <c r="AQ33" s="136" t="s">
        <v>1073</v>
      </c>
      <c r="AR33" s="136" t="s">
        <v>1073</v>
      </c>
      <c r="AS33" s="136" t="s">
        <v>1073</v>
      </c>
      <c r="AT33" s="136" t="s">
        <v>1073</v>
      </c>
      <c r="AU33" s="136" t="s">
        <v>1073</v>
      </c>
      <c r="AV33" s="136" t="s">
        <v>1073</v>
      </c>
      <c r="AW33" s="136" t="s">
        <v>1073</v>
      </c>
      <c r="AX33" s="136" t="s">
        <v>1073</v>
      </c>
      <c r="AY33" s="136" t="s">
        <v>1073</v>
      </c>
      <c r="AZ33" s="136" t="s">
        <v>1073</v>
      </c>
      <c r="BA33" s="136" t="s">
        <v>1073</v>
      </c>
      <c r="BB33" s="136" t="s">
        <v>1073</v>
      </c>
      <c r="BC33" s="136" t="s">
        <v>1073</v>
      </c>
      <c r="BD33" s="136" t="s">
        <v>1073</v>
      </c>
      <c r="BE33" s="139" t="str">
        <f>IF(Configurator!$L$7&gt;"-307","24Vdc (+4 high break contacts)"," ")</f>
        <v>24Vdc (+4 high break contacts)</v>
      </c>
      <c r="BF33" s="136" t="s">
        <v>1073</v>
      </c>
      <c r="BG33" s="139" t="str">
        <f>IF(Configurator!$L$7&gt;"-307","24Vdc (+4 high break contacts)"," ")</f>
        <v>24Vdc (+4 high break contacts)</v>
      </c>
      <c r="BH33" s="139" t="str">
        <f>IF(Configurator!$L$7&gt;"-307","24Vdc (+4 high break contacts)"," ")</f>
        <v>24Vdc (+4 high break contacts)</v>
      </c>
      <c r="BI33" s="136" t="s">
        <v>1073</v>
      </c>
      <c r="BJ33" s="136" t="s">
        <v>1073</v>
      </c>
      <c r="BK33" s="139" t="str">
        <f>IF(Configurator!$L$7&gt;"-307","24Vdc (+4 high break contacts)"," ")</f>
        <v>24Vdc (+4 high break contacts)</v>
      </c>
      <c r="BL33" s="139" t="str">
        <f>IF(Configurator!$L$7&gt;"-307","24Vdc (+4 high break contacts)"," ")</f>
        <v>24Vdc (+4 high break contacts)</v>
      </c>
      <c r="BM33" s="139" t="str">
        <f>IF(Configurator!$L$7&gt;"-307","24Vdc (+4 high break contacts)"," ")</f>
        <v>24Vdc (+4 high break contacts)</v>
      </c>
      <c r="BN33" s="139" t="str">
        <f>IF(Configurator!$L$7&gt;"-307","24Vdc (+4 high break contacts)"," ")</f>
        <v>24Vdc (+4 high break contacts)</v>
      </c>
      <c r="BO33" s="139" t="str">
        <f>IF(Configurator!$L$7&gt;"-307","24Vdc (+4 high break contacts)"," ")</f>
        <v>24Vdc (+4 high break contacts)</v>
      </c>
      <c r="BP33" s="136" t="s">
        <v>1073</v>
      </c>
      <c r="BQ33" s="139" t="str">
        <f>IF(Configurator!$L$7&gt;"-307","24Vdc (+4 high break contacts)"," ")</f>
        <v>24Vdc (+4 high break contacts)</v>
      </c>
      <c r="BR33" s="139" t="str">
        <f>IF(Configurator!$L$7&gt;"-307","24Vdc (+4 high break contacts)"," ")</f>
        <v>24Vdc (+4 high break contacts)</v>
      </c>
      <c r="BS33" s="139" t="str">
        <f>IF(Configurator!$L$7&gt;"-307","24Vdc (+4 high break contacts)"," ")</f>
        <v>24Vdc (+4 high break contacts)</v>
      </c>
      <c r="BT33" s="139" t="str">
        <f>IF(Configurator!$L$7&gt;"-307","24Vdc (+4 high break contacts)"," ")</f>
        <v>24Vdc (+4 high break contacts)</v>
      </c>
      <c r="BU33" s="136" t="s">
        <v>1073</v>
      </c>
      <c r="BV33" s="139" t="str">
        <f>IF(Configurator!$L$7&gt;"-307","24Vdc (+4 high break contacts)"," ")</f>
        <v>24Vdc (+4 high break contacts)</v>
      </c>
      <c r="BW33" s="139" t="str">
        <f>IF(Configurator!$L$7&gt;"-307","24Vdc (+4 high break contacts)"," ")</f>
        <v>24Vdc (+4 high break contacts)</v>
      </c>
      <c r="BX33" s="139" t="str">
        <f>IF(Configurator!$L$7&gt;"-307","24Vdc (+4 high break contacts)"," ")</f>
        <v>24Vdc (+4 high break contacts)</v>
      </c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</row>
    <row r="34" spans="1:105" ht="14.25">
      <c r="A34" s="133"/>
      <c r="B34" s="136" t="s">
        <v>1073</v>
      </c>
      <c r="C34" s="136" t="s">
        <v>1073</v>
      </c>
      <c r="D34" s="136" t="s">
        <v>1073</v>
      </c>
      <c r="E34" s="136" t="s">
        <v>1073</v>
      </c>
      <c r="F34" s="136" t="s">
        <v>1073</v>
      </c>
      <c r="G34" s="136" t="s">
        <v>1073</v>
      </c>
      <c r="H34" s="136" t="s">
        <v>1073</v>
      </c>
      <c r="I34" s="136" t="s">
        <v>1073</v>
      </c>
      <c r="J34" s="136" t="s">
        <v>1073</v>
      </c>
      <c r="K34" s="136" t="s">
        <v>1073</v>
      </c>
      <c r="L34" s="136" t="s">
        <v>1073</v>
      </c>
      <c r="M34" s="136" t="s">
        <v>1073</v>
      </c>
      <c r="N34" s="136" t="s">
        <v>1073</v>
      </c>
      <c r="O34" s="136" t="s">
        <v>1073</v>
      </c>
      <c r="P34" s="136" t="s">
        <v>1073</v>
      </c>
      <c r="Q34" s="136" t="s">
        <v>1073</v>
      </c>
      <c r="R34" s="136" t="s">
        <v>1073</v>
      </c>
      <c r="S34" s="136" t="s">
        <v>1073</v>
      </c>
      <c r="T34" s="136" t="s">
        <v>1073</v>
      </c>
      <c r="U34" s="136" t="s">
        <v>1073</v>
      </c>
      <c r="V34" s="136" t="s">
        <v>1073</v>
      </c>
      <c r="W34" s="136" t="s">
        <v>1073</v>
      </c>
      <c r="X34" s="136" t="s">
        <v>1073</v>
      </c>
      <c r="Y34" s="136" t="s">
        <v>1073</v>
      </c>
      <c r="Z34" s="136" t="s">
        <v>1073</v>
      </c>
      <c r="AA34" s="136" t="s">
        <v>1073</v>
      </c>
      <c r="AB34" s="136" t="s">
        <v>1073</v>
      </c>
      <c r="AC34" s="136" t="s">
        <v>1073</v>
      </c>
      <c r="AD34" s="136" t="s">
        <v>1073</v>
      </c>
      <c r="AE34" s="136" t="s">
        <v>1073</v>
      </c>
      <c r="AF34" s="136" t="s">
        <v>1073</v>
      </c>
      <c r="AG34" s="136" t="s">
        <v>1073</v>
      </c>
      <c r="AH34" s="136" t="s">
        <v>1073</v>
      </c>
      <c r="AI34" s="136" t="s">
        <v>1073</v>
      </c>
      <c r="AJ34" s="136" t="s">
        <v>1073</v>
      </c>
      <c r="AK34" s="136" t="s">
        <v>1073</v>
      </c>
      <c r="AL34" s="136" t="s">
        <v>1073</v>
      </c>
      <c r="AM34" s="136" t="s">
        <v>1073</v>
      </c>
      <c r="AN34" s="136" t="s">
        <v>1073</v>
      </c>
      <c r="AO34" s="136" t="s">
        <v>1073</v>
      </c>
      <c r="AP34" s="136" t="s">
        <v>1073</v>
      </c>
      <c r="AQ34" s="136" t="s">
        <v>1073</v>
      </c>
      <c r="AR34" s="136" t="s">
        <v>1073</v>
      </c>
      <c r="AS34" s="136" t="s">
        <v>1073</v>
      </c>
      <c r="AT34" s="136" t="s">
        <v>1073</v>
      </c>
      <c r="AU34" s="136" t="s">
        <v>1073</v>
      </c>
      <c r="AV34" s="136" t="s">
        <v>1073</v>
      </c>
      <c r="AW34" s="136" t="s">
        <v>1073</v>
      </c>
      <c r="AX34" s="136" t="s">
        <v>1073</v>
      </c>
      <c r="AY34" s="136" t="s">
        <v>1073</v>
      </c>
      <c r="AZ34" s="136" t="s">
        <v>1073</v>
      </c>
      <c r="BA34" s="136" t="s">
        <v>1073</v>
      </c>
      <c r="BB34" s="136" t="s">
        <v>1073</v>
      </c>
      <c r="BC34" s="136" t="s">
        <v>1073</v>
      </c>
      <c r="BD34" s="136" t="s">
        <v>1073</v>
      </c>
      <c r="BE34" s="139" t="str">
        <f>IF(Configurator!$L$7&gt;"-307","48 to 250Vdc / 100 to 230Vac (+4 high break contacts)"," ")</f>
        <v>48 to 250Vdc / 100 to 230Vac (+4 high break contacts)</v>
      </c>
      <c r="BF34" s="136" t="s">
        <v>1073</v>
      </c>
      <c r="BG34" s="139" t="str">
        <f>IF(Configurator!$L$7&gt;"-307","48 to 250Vdc / 100 to 230Vac (+4 high break contacts)"," ")</f>
        <v>48 to 250Vdc / 100 to 230Vac (+4 high break contacts)</v>
      </c>
      <c r="BH34" s="139" t="str">
        <f>IF(Configurator!$L$7&gt;"-307","48 to 250Vdc / 100 to 230Vac (+4 high break contacts)"," ")</f>
        <v>48 to 250Vdc / 100 to 230Vac (+4 high break contacts)</v>
      </c>
      <c r="BI34" s="136" t="s">
        <v>1073</v>
      </c>
      <c r="BJ34" s="136" t="s">
        <v>1073</v>
      </c>
      <c r="BK34" s="139" t="str">
        <f>IF(Configurator!$L$7&gt;"-307","48 to 250Vdc / 100 to 230Vac (+4 high break contacts)"," ")</f>
        <v>48 to 250Vdc / 100 to 230Vac (+4 high break contacts)</v>
      </c>
      <c r="BL34" s="139" t="str">
        <f>IF(Configurator!$L$7&gt;"-307","48 to 250Vdc / 100 to 230Vac (+4 high break contacts)"," ")</f>
        <v>48 to 250Vdc / 100 to 230Vac (+4 high break contacts)</v>
      </c>
      <c r="BM34" s="139" t="str">
        <f>IF(Configurator!$L$7&gt;"-307","48 to 250Vdc / 100 to 230Vac (+4 high break contacts)"," ")</f>
        <v>48 to 250Vdc / 100 to 230Vac (+4 high break contacts)</v>
      </c>
      <c r="BN34" s="139" t="str">
        <f>IF(Configurator!$L$7&gt;"-307","48 to 250Vdc / 100 to 230Vac (+4 high break contacts)"," ")</f>
        <v>48 to 250Vdc / 100 to 230Vac (+4 high break contacts)</v>
      </c>
      <c r="BO34" s="139" t="str">
        <f>IF(Configurator!$L$7&gt;"-307","48 to 250Vdc / 100 to 230Vac (+4 high break contacts)"," ")</f>
        <v>48 to 250Vdc / 100 to 230Vac (+4 high break contacts)</v>
      </c>
      <c r="BP34" s="136" t="s">
        <v>1073</v>
      </c>
      <c r="BQ34" s="139" t="str">
        <f>IF(Configurator!$L$7&gt;"-307","48 to 250Vdc / 100 to 230Vac (+4 high break contacts)"," ")</f>
        <v>48 to 250Vdc / 100 to 230Vac (+4 high break contacts)</v>
      </c>
      <c r="BR34" s="139" t="str">
        <f>IF(Configurator!$L$7&gt;"-307","48 to 250Vdc / 100 to 230Vac (+4 high break contacts)"," ")</f>
        <v>48 to 250Vdc / 100 to 230Vac (+4 high break contacts)</v>
      </c>
      <c r="BS34" s="139" t="str">
        <f>IF(Configurator!$L$7&gt;"-307","48 to 250Vdc / 100 to 230Vac (+4 high break contacts)"," ")</f>
        <v>48 to 250Vdc / 100 to 230Vac (+4 high break contacts)</v>
      </c>
      <c r="BT34" s="139" t="str">
        <f>IF(Configurator!$L$7&gt;"-307","48 to 250Vdc / 100 to 230Vac (+4 high break contacts)"," ")</f>
        <v>48 to 250Vdc / 100 to 230Vac (+4 high break contacts)</v>
      </c>
      <c r="BU34" s="136" t="s">
        <v>1073</v>
      </c>
      <c r="BV34" s="139" t="str">
        <f>IF(Configurator!$L$7&gt;"-307","48 to 250Vdc / 100 to 230Vac (+4 high break contacts)"," ")</f>
        <v>48 to 250Vdc / 100 to 230Vac (+4 high break contacts)</v>
      </c>
      <c r="BW34" s="139" t="str">
        <f>IF(Configurator!$L$7&gt;"-307","48 to 250Vdc / 100 to 230Vac (+4 high break contacts)"," ")</f>
        <v>48 to 250Vdc / 100 to 230Vac (+4 high break contacts)</v>
      </c>
      <c r="BX34" s="139" t="str">
        <f>IF(Configurator!$L$7&gt;"-307","48 to 250Vdc / 100 to 230Vac (+4 high break contacts)"," ")</f>
        <v>48 to 250Vdc / 100 to 230Vac (+4 high break contacts)</v>
      </c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</row>
    <row r="35" spans="1:105" ht="15">
      <c r="A35" s="135" t="s">
        <v>1205</v>
      </c>
      <c r="B35" s="136" t="s">
        <v>1073</v>
      </c>
      <c r="C35" s="136" t="s">
        <v>1073</v>
      </c>
      <c r="D35" s="136" t="s">
        <v>1073</v>
      </c>
      <c r="E35" s="136" t="s">
        <v>1073</v>
      </c>
      <c r="F35" s="136" t="s">
        <v>1073</v>
      </c>
      <c r="G35" s="136" t="s">
        <v>1073</v>
      </c>
      <c r="H35" s="136" t="s">
        <v>1073</v>
      </c>
      <c r="I35" s="136" t="s">
        <v>1073</v>
      </c>
      <c r="J35" s="136" t="s">
        <v>1073</v>
      </c>
      <c r="K35" s="136" t="s">
        <v>1073</v>
      </c>
      <c r="L35" s="136" t="s">
        <v>1073</v>
      </c>
      <c r="M35" s="136" t="s">
        <v>1073</v>
      </c>
      <c r="N35" s="136" t="s">
        <v>1073</v>
      </c>
      <c r="O35" s="136" t="s">
        <v>1073</v>
      </c>
      <c r="P35" s="136" t="s">
        <v>1073</v>
      </c>
      <c r="Q35" s="136" t="s">
        <v>1073</v>
      </c>
      <c r="R35" s="136" t="s">
        <v>1073</v>
      </c>
      <c r="S35" s="136" t="s">
        <v>1073</v>
      </c>
      <c r="T35" s="136" t="s">
        <v>1073</v>
      </c>
      <c r="U35" s="136" t="s">
        <v>1073</v>
      </c>
      <c r="V35" s="136" t="s">
        <v>1073</v>
      </c>
      <c r="W35" s="136" t="s">
        <v>1073</v>
      </c>
      <c r="X35" s="136" t="s">
        <v>1073</v>
      </c>
      <c r="Y35" s="136" t="s">
        <v>1073</v>
      </c>
      <c r="Z35" s="136" t="s">
        <v>1073</v>
      </c>
      <c r="AA35" s="136" t="s">
        <v>1073</v>
      </c>
      <c r="AB35" s="136" t="s">
        <v>1073</v>
      </c>
      <c r="AC35" s="136" t="s">
        <v>1073</v>
      </c>
      <c r="AD35" s="136" t="s">
        <v>1073</v>
      </c>
      <c r="AE35" s="136" t="s">
        <v>1073</v>
      </c>
      <c r="AF35" s="136" t="s">
        <v>1073</v>
      </c>
      <c r="AG35" s="136" t="s">
        <v>1073</v>
      </c>
      <c r="AH35" s="136" t="s">
        <v>1073</v>
      </c>
      <c r="AI35" s="136" t="s">
        <v>1073</v>
      </c>
      <c r="AJ35" s="136" t="s">
        <v>1073</v>
      </c>
      <c r="AK35" s="136" t="s">
        <v>1073</v>
      </c>
      <c r="AL35" s="136" t="s">
        <v>1073</v>
      </c>
      <c r="AM35" s="136" t="s">
        <v>1073</v>
      </c>
      <c r="AN35" s="136" t="s">
        <v>1073</v>
      </c>
      <c r="AO35" s="136" t="s">
        <v>1073</v>
      </c>
      <c r="AP35" s="136" t="s">
        <v>1073</v>
      </c>
      <c r="AQ35" s="136" t="s">
        <v>1073</v>
      </c>
      <c r="AR35" s="136" t="s">
        <v>1073</v>
      </c>
      <c r="AS35" s="136" t="s">
        <v>1073</v>
      </c>
      <c r="AT35" s="136" t="s">
        <v>1073</v>
      </c>
      <c r="AU35" s="136" t="s">
        <v>1073</v>
      </c>
      <c r="AV35" s="136" t="s">
        <v>1073</v>
      </c>
      <c r="AW35" s="136" t="s">
        <v>1073</v>
      </c>
      <c r="AX35" s="136" t="s">
        <v>1073</v>
      </c>
      <c r="AY35" s="136" t="s">
        <v>1073</v>
      </c>
      <c r="AZ35" s="136" t="s">
        <v>1073</v>
      </c>
      <c r="BA35" s="136" t="s">
        <v>1073</v>
      </c>
      <c r="BB35" s="136" t="s">
        <v>1073</v>
      </c>
      <c r="BC35" s="136" t="s">
        <v>1073</v>
      </c>
      <c r="BD35" s="136" t="s">
        <v>1073</v>
      </c>
      <c r="BE35" s="136" t="s">
        <v>1073</v>
      </c>
      <c r="BF35" s="136" t="s">
        <v>1073</v>
      </c>
      <c r="BG35" s="136" t="s">
        <v>1073</v>
      </c>
      <c r="BH35" s="136" t="s">
        <v>1073</v>
      </c>
      <c r="BI35" s="136" t="s">
        <v>1073</v>
      </c>
      <c r="BJ35" s="136" t="s">
        <v>1073</v>
      </c>
      <c r="BK35" s="136" t="s">
        <v>1073</v>
      </c>
      <c r="BL35" s="136" t="s">
        <v>1073</v>
      </c>
      <c r="BM35" s="136" t="s">
        <v>1073</v>
      </c>
      <c r="BN35" s="136" t="s">
        <v>1073</v>
      </c>
      <c r="BO35" s="136" t="s">
        <v>1073</v>
      </c>
      <c r="BP35" s="136" t="s">
        <v>1073</v>
      </c>
      <c r="BQ35" s="136" t="s">
        <v>1073</v>
      </c>
      <c r="BR35" s="136" t="s">
        <v>1073</v>
      </c>
      <c r="BS35" s="136" t="s">
        <v>1073</v>
      </c>
      <c r="BT35" s="136" t="s">
        <v>1073</v>
      </c>
      <c r="BU35" s="136" t="s">
        <v>1073</v>
      </c>
      <c r="BV35" s="136" t="s">
        <v>1073</v>
      </c>
      <c r="BW35" s="136" t="s">
        <v>1073</v>
      </c>
      <c r="BX35" s="136" t="s">
        <v>1073</v>
      </c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129" t="s">
        <v>1073</v>
      </c>
      <c r="CJ35" s="129" t="s">
        <v>1073</v>
      </c>
      <c r="CK35" s="129" t="s">
        <v>1073</v>
      </c>
      <c r="CL35" s="129" t="s">
        <v>1073</v>
      </c>
      <c r="CM35" s="129" t="s">
        <v>1073</v>
      </c>
      <c r="CN35" s="129" t="s">
        <v>1073</v>
      </c>
      <c r="CO35" s="129" t="s">
        <v>1073</v>
      </c>
      <c r="CP35" s="129" t="s">
        <v>1073</v>
      </c>
      <c r="CQ35" s="129" t="s">
        <v>1073</v>
      </c>
      <c r="CR35" s="129" t="s">
        <v>1073</v>
      </c>
      <c r="CS35" s="129" t="s">
        <v>1073</v>
      </c>
      <c r="CT35" s="129" t="s">
        <v>1073</v>
      </c>
      <c r="CU35" s="129" t="s">
        <v>1073</v>
      </c>
      <c r="CV35" s="129" t="s">
        <v>1073</v>
      </c>
      <c r="CW35" s="129" t="s">
        <v>1073</v>
      </c>
      <c r="CX35" s="129" t="s">
        <v>1073</v>
      </c>
      <c r="CY35" s="129" t="s">
        <v>1073</v>
      </c>
      <c r="CZ35" s="129" t="s">
        <v>1073</v>
      </c>
      <c r="DA35" s="129" t="s">
        <v>1073</v>
      </c>
    </row>
    <row r="36" spans="1:105" ht="15">
      <c r="A36" s="137" t="s">
        <v>1073</v>
      </c>
      <c r="B36" s="134" t="s">
        <v>1091</v>
      </c>
      <c r="C36" s="134" t="s">
        <v>1093</v>
      </c>
      <c r="D36" s="134" t="s">
        <v>1093</v>
      </c>
      <c r="E36" s="134" t="s">
        <v>1093</v>
      </c>
      <c r="F36" s="134" t="s">
        <v>1093</v>
      </c>
      <c r="G36" s="134" t="s">
        <v>1093</v>
      </c>
      <c r="H36" s="134" t="s">
        <v>1093</v>
      </c>
      <c r="I36" s="134" t="s">
        <v>1093</v>
      </c>
      <c r="J36" s="134" t="s">
        <v>1093</v>
      </c>
      <c r="K36" s="134" t="s">
        <v>1093</v>
      </c>
      <c r="L36" s="134" t="s">
        <v>1093</v>
      </c>
      <c r="M36" s="138" t="str">
        <f>IF(Tendering!$B$22=7,"B","C")</f>
        <v>B</v>
      </c>
      <c r="N36" s="138" t="str">
        <f>IF(Tendering!$B$22=7,"B","C")</f>
        <v>B</v>
      </c>
      <c r="O36" s="138" t="str">
        <f>IF(Tendering!$B$22=7,"B","C")</f>
        <v>B</v>
      </c>
      <c r="P36" s="138" t="str">
        <f>IF(Tendering!$B$22=7,"B","C")</f>
        <v>B</v>
      </c>
      <c r="Q36" s="138" t="str">
        <f>IF(Tendering!$B$22=7,"B","C")</f>
        <v>B</v>
      </c>
      <c r="R36" s="138" t="str">
        <f>IF(Tendering!$B$22=7,"B",IF(AND(Tendering!$B$22&gt;2,Tendering!$B$22&lt;7),"C","D"))</f>
        <v>B</v>
      </c>
      <c r="S36" s="138" t="str">
        <f>IF(Tendering!$B$22=7,"B",IF(AND(Tendering!$B$22&gt;2,Tendering!$B$22&lt;7),"C","D"))</f>
        <v>B</v>
      </c>
      <c r="T36" s="138" t="str">
        <f>IF(Tendering!$B$22&lt;4,"D","C")</f>
        <v>C</v>
      </c>
      <c r="U36" s="138" t="str">
        <f>IF(Tendering!$B$22&lt;4,"D","C")</f>
        <v>C</v>
      </c>
      <c r="V36" s="138" t="str">
        <f>IF(Tendering!$B$22&lt;4,"D","C")</f>
        <v>C</v>
      </c>
      <c r="W36" s="138" t="str">
        <f>IF(Tendering!$B$22&lt;4,"D","C")</f>
        <v>C</v>
      </c>
      <c r="X36" s="138" t="str">
        <f>IF(Tendering!$B$22&lt;4,"D","C")</f>
        <v>C</v>
      </c>
      <c r="Y36" s="134" t="s">
        <v>1096</v>
      </c>
      <c r="Z36" s="138" t="str">
        <f>IF(Tendering!$B$22&lt;4,"D","C")</f>
        <v>C</v>
      </c>
      <c r="AA36" s="138" t="str">
        <f>IF(Tendering!$B$22&lt;4,"D","C")</f>
        <v>C</v>
      </c>
      <c r="AB36" s="138" t="str">
        <f>IF(Tendering!$B$22&lt;4,"D","C")</f>
        <v>C</v>
      </c>
      <c r="AC36" s="138" t="str">
        <f>IF(Tendering!$B$22&lt;4,"D","C")</f>
        <v>C</v>
      </c>
      <c r="AD36" s="138" t="str">
        <f>IF(Tendering!$B$22&lt;4,"D","C")</f>
        <v>C</v>
      </c>
      <c r="AE36" s="138" t="str">
        <f>IF(Tendering!$B$22&lt;4,"D","C")</f>
        <v>C</v>
      </c>
      <c r="AF36" s="138" t="str">
        <f>IF(Tendering!$B$22&lt;4,"D","C")</f>
        <v>C</v>
      </c>
      <c r="AG36" s="223" t="s">
        <v>16</v>
      </c>
      <c r="AH36" s="138" t="str">
        <f>IF(Tendering!$B$22&lt;4,"D","C")</f>
        <v>C</v>
      </c>
      <c r="AI36" s="138" t="str">
        <f>IF(Tendering!$B$22&lt;4,"D","C")</f>
        <v>C</v>
      </c>
      <c r="AJ36" s="138" t="str">
        <f>IF(Tendering!$B$22&lt;4,"D","C")</f>
        <v>C</v>
      </c>
      <c r="AK36" s="138" t="str">
        <f>IF(Tendering!$B$22&lt;4,"D","C")</f>
        <v>C</v>
      </c>
      <c r="AL36" s="138" t="str">
        <f>IF(OR(Tendering!$B$22=7,Tendering!$B$22&lt;4),"D","C")</f>
        <v>D</v>
      </c>
      <c r="AM36" s="138" t="str">
        <f>IF(OR(Tendering!$B$22=7,Tendering!$B$22&lt;4),"D","C")</f>
        <v>D</v>
      </c>
      <c r="AN36" s="138" t="str">
        <f>IF(OR(Tendering!$B$22=7,Tendering!$B$22&lt;4),"D","C")</f>
        <v>D</v>
      </c>
      <c r="AO36" s="138" t="str">
        <f>IF(OR(Tendering!$B$22=7,Tendering!$B$22&lt;4),"D","C")</f>
        <v>D</v>
      </c>
      <c r="AP36" s="138" t="str">
        <f>IF(Configurator!$T$5="5","D","F")</f>
        <v>D</v>
      </c>
      <c r="AQ36" s="138" t="str">
        <f>IF(Configurator!$T$5="5","D","F")</f>
        <v>D</v>
      </c>
      <c r="AR36" s="138" t="str">
        <f>IF(Configurator!$T$5="5","D",IF(Configurator!$T$5="3","F","G"))</f>
        <v>D</v>
      </c>
      <c r="AS36" s="138" t="str">
        <f>IF(Configurator!$T$5="5","D","F")</f>
        <v>D</v>
      </c>
      <c r="AT36" s="138" t="str">
        <f>IF(Configurator!$T$5="5","D","G")</f>
        <v>D</v>
      </c>
      <c r="AU36" s="138" t="str">
        <f>IF(Configurator!$T$5="5","D","G")</f>
        <v>D</v>
      </c>
      <c r="AV36" s="138" t="str">
        <f>IF(Configurator!$T$5="5","D","G")</f>
        <v>D</v>
      </c>
      <c r="AW36" s="138" t="str">
        <f>IF(Configurator!$T$5="5","D","G")</f>
        <v>D</v>
      </c>
      <c r="AX36" s="138" t="str">
        <f>IF(Configurator!$T$5="5","D","G")</f>
        <v>D</v>
      </c>
      <c r="AY36" s="138" t="str">
        <f>IF(Configurator!$T$5="5","D","G")</f>
        <v>D</v>
      </c>
      <c r="AZ36" s="138" t="str">
        <f>IF(Configurator!$T$5="5","D","G")</f>
        <v>D</v>
      </c>
      <c r="BA36" s="138" t="str">
        <f>IF(Configurator!$T$5="5","D","G")</f>
        <v>D</v>
      </c>
      <c r="BB36" s="134" t="s">
        <v>17</v>
      </c>
      <c r="BC36" s="134" t="s">
        <v>17</v>
      </c>
      <c r="BD36" s="134" t="s">
        <v>17</v>
      </c>
      <c r="BE36" s="138" t="str">
        <f>IF(OR(Configurator!$T$5="0",Configurator!$T$5="1"),"H",IF(OR(Configurator!$T$5="2",Configurator!$T$5="3",Configurator!$T$5="5"),"G","*"))</f>
        <v>G</v>
      </c>
      <c r="BF36" s="134" t="s">
        <v>17</v>
      </c>
      <c r="BG36" s="138" t="str">
        <f>IF(OR(Configurator!$T$5="0",Configurator!$T$5="1"),"H",IF(OR(Configurator!$T$5="2",Configurator!$T$5="3",Configurator!$T$5="5"),"G","*"))</f>
        <v>G</v>
      </c>
      <c r="BH36" s="138" t="str">
        <f>IF(OR(Configurator!$T$5="0",Configurator!$T$5="1"),"H",IF(OR(Configurator!$T$5="2",Configurator!$T$5="3",Configurator!$T$5="5"),"G","*"))</f>
        <v>G</v>
      </c>
      <c r="BI36" s="134" t="s">
        <v>17</v>
      </c>
      <c r="BJ36" s="134" t="s">
        <v>17</v>
      </c>
      <c r="BK36" s="138" t="str">
        <f>IF(OR(Configurator!$T$5="0",Configurator!$T$5="1"),"H",IF(OR(Configurator!$T$5="2",Configurator!$T$5="3",Configurator!$T$5="5"),"G","*"))</f>
        <v>G</v>
      </c>
      <c r="BL36" s="138" t="str">
        <f>IF(OR(Configurator!$T$5="0",Configurator!$T$5="1",Configurator!$T$5="4"),"H",IF(OR(Configurator!$T$5="2",Configurator!$T$5="3",Configurator!$T$5="5"),"G","*"))</f>
        <v>G</v>
      </c>
      <c r="BM36" s="138" t="str">
        <f>IF(OR(Configurator!$T$5="0",Configurator!$T$5="1",Configurator!$T$5="2"),"H",IF(OR(Configurator!$T$5="3",Configurator!$T$5="5"),"G","*"))</f>
        <v>G</v>
      </c>
      <c r="BN36" s="138" t="str">
        <f>IF(OR(Configurator!$T$5="0",Configurator!$T$5="1",Configurator!$T$5="2"),"H",IF(OR(Configurator!$T$5="3",Configurator!$T$5="5"),"G","*"))</f>
        <v>G</v>
      </c>
      <c r="BO36" s="138" t="str">
        <f>IF(OR(Configurator!$T$5="0",Configurator!$T$5="1",Configurator!$T$5="6",Configurator!$T$5="4"),"I",IF(OR(Configurator!$T$5="2",Configurator!$T$5="3",Configurator!$T$5="5"),"G","*"))</f>
        <v>G</v>
      </c>
      <c r="BP36" s="134" t="s">
        <v>17</v>
      </c>
      <c r="BQ36" s="138" t="str">
        <f>IF(OR(Configurator!$T$5="0",Configurator!$T$5="1",Configurator!$T$5="6",Configurator!$T$5="4"),"I",IF(OR(Configurator!$T$5="2",Configurator!$T$5="3",Configurator!$T$5="5"),"G","*"))</f>
        <v>G</v>
      </c>
      <c r="BR36" s="138" t="str">
        <f>IF(OR(Configurator!$T$5="0",Configurator!$T$5="1",Configurator!$T$5="2"),"H",IF(OR(Configurator!$T$5="3",Configurator!$T$5="5"),"G","*"))</f>
        <v>G</v>
      </c>
      <c r="BS36" s="138" t="str">
        <f>IF(OR(Configurator!$T$5="0",Configurator!$T$5="1",Configurator!$T$5="6",Configurator!$T$5="4"),"I",IF(OR(Configurator!$T$5="2",Configurator!$T$5="3",Configurator!$T$5="5"),"G","*"))</f>
        <v>G</v>
      </c>
      <c r="BT36" s="138" t="str">
        <f>IF(OR(Configurator!$T$5="0",Configurator!$T$5="1",Configurator!$T$5="6",Configurator!$T$5="4"),"I",IF(OR(Configurator!$T$5="2",Configurator!$T$5="3",Configurator!$T$5="5"),"G","*"))</f>
        <v>G</v>
      </c>
      <c r="BU36" s="134" t="s">
        <v>17</v>
      </c>
      <c r="BV36" s="138" t="str">
        <f>IF(OR(Configurator!$T$5="0",Configurator!$T$5="1",Configurator!$T$5="6",Configurator!$T$5="4"),"I",IF(OR(Configurator!$T$5="2",Configurator!$T$5="3",Configurator!$T$5="5"),"G","*"))</f>
        <v>G</v>
      </c>
      <c r="BW36" s="138" t="str">
        <f>IF(OR(Configurator!$T$5="0",Configurator!$T$5="1",Configurator!$T$5="2"),"H",IF(OR(Configurator!$T$5="3",Configurator!$T$5="5"),"G","*"))</f>
        <v>G</v>
      </c>
      <c r="BX36" s="138" t="str">
        <f>IF(OR(Configurator!$T$5="0",Configurator!$T$5="1",Configurator!$T$5="6",Configurator!$T$5="4"),"I",IF(OR(Configurator!$T$5="3",Configurator!$T$5="5"),"G",IF(Configurator!$T$5="2","H","*")))</f>
        <v>G</v>
      </c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29" t="s">
        <v>1073</v>
      </c>
      <c r="CJ36" s="129" t="s">
        <v>1073</v>
      </c>
      <c r="CK36" s="129" t="s">
        <v>1073</v>
      </c>
      <c r="CL36" s="129" t="s">
        <v>1073</v>
      </c>
      <c r="CM36" s="129" t="s">
        <v>1073</v>
      </c>
      <c r="CN36" s="129" t="s">
        <v>1073</v>
      </c>
      <c r="CO36" s="129" t="s">
        <v>1073</v>
      </c>
      <c r="CP36" s="129" t="s">
        <v>1073</v>
      </c>
      <c r="CQ36" s="129" t="s">
        <v>1073</v>
      </c>
      <c r="CR36" s="129" t="s">
        <v>1073</v>
      </c>
      <c r="CS36" s="129" t="s">
        <v>1073</v>
      </c>
      <c r="CT36" s="129" t="s">
        <v>1073</v>
      </c>
      <c r="CU36" s="129" t="s">
        <v>1073</v>
      </c>
      <c r="CV36" s="129" t="s">
        <v>1073</v>
      </c>
      <c r="CW36" s="129" t="s">
        <v>1073</v>
      </c>
      <c r="CX36" s="129" t="s">
        <v>1073</v>
      </c>
      <c r="CY36" s="129" t="s">
        <v>1073</v>
      </c>
      <c r="CZ36" s="129" t="s">
        <v>1073</v>
      </c>
      <c r="DA36" s="129" t="s">
        <v>1073</v>
      </c>
    </row>
    <row r="37" spans="1:105" ht="14.25">
      <c r="A37" s="133" t="s">
        <v>1073</v>
      </c>
      <c r="B37" s="136" t="s">
        <v>274</v>
      </c>
      <c r="C37" s="136" t="s">
        <v>1221</v>
      </c>
      <c r="D37" s="136" t="s">
        <v>1221</v>
      </c>
      <c r="E37" s="136" t="s">
        <v>1221</v>
      </c>
      <c r="F37" s="136" t="s">
        <v>1221</v>
      </c>
      <c r="G37" s="136" t="s">
        <v>1221</v>
      </c>
      <c r="H37" s="136" t="s">
        <v>1221</v>
      </c>
      <c r="I37" s="136" t="s">
        <v>1221</v>
      </c>
      <c r="J37" s="136" t="s">
        <v>1221</v>
      </c>
      <c r="K37" s="136" t="s">
        <v>1221</v>
      </c>
      <c r="L37" s="136" t="s">
        <v>1221</v>
      </c>
      <c r="M37" s="139" t="str">
        <f>IF(Tendering!$B$22=7,"-302","-303")</f>
        <v>-302</v>
      </c>
      <c r="N37" s="139" t="str">
        <f>IF(Tendering!$B$22=7,"-302","-303")</f>
        <v>-302</v>
      </c>
      <c r="O37" s="139" t="str">
        <f>IF(Tendering!$B$22=7,"-302","-303")</f>
        <v>-302</v>
      </c>
      <c r="P37" s="139" t="str">
        <f>IF(Tendering!$B$22=7,"-302","-303")</f>
        <v>-302</v>
      </c>
      <c r="Q37" s="139" t="str">
        <f>IF(Tendering!$B$22=7,"-302","-303")</f>
        <v>-302</v>
      </c>
      <c r="R37" s="138" t="str">
        <f>IF(Tendering!$B$22=7,"-302",IF(AND(Tendering!$B$22&gt;2,Tendering!$B$22&lt;7),"-303","-304"))</f>
        <v>-302</v>
      </c>
      <c r="S37" s="138" t="str">
        <f>IF(Tendering!$B$22=7,"-302",IF(AND(Tendering!$B$22&gt;2,Tendering!$B$22&lt;7),"-303","-304"))</f>
        <v>-302</v>
      </c>
      <c r="T37" s="138" t="str">
        <f>IF(Tendering!$B$22&lt;4,"-304","-303")</f>
        <v>-303</v>
      </c>
      <c r="U37" s="138" t="str">
        <f>IF(Tendering!$B$22&lt;4,"-304","-303")</f>
        <v>-303</v>
      </c>
      <c r="V37" s="138" t="str">
        <f>IF(Tendering!$B$22&lt;4,"-304","-303")</f>
        <v>-303</v>
      </c>
      <c r="W37" s="138" t="str">
        <f>IF(Tendering!$B$22&lt;4,"-304","-303")</f>
        <v>-303</v>
      </c>
      <c r="X37" s="138" t="str">
        <f>IF(Tendering!$B$22&lt;4,"-304","-303")</f>
        <v>-303</v>
      </c>
      <c r="Y37" s="134">
        <v>-304</v>
      </c>
      <c r="Z37" s="138" t="str">
        <f>IF(Tendering!$B$22&lt;4,"-304","-303")</f>
        <v>-303</v>
      </c>
      <c r="AA37" s="138" t="str">
        <f>IF(Tendering!$B$22&lt;4,"-304","-303")</f>
        <v>-303</v>
      </c>
      <c r="AB37" s="138" t="str">
        <f>IF(Tendering!$B$22&lt;4,"-304","-303")</f>
        <v>-303</v>
      </c>
      <c r="AC37" s="138" t="str">
        <f>IF(Tendering!$B$22&lt;4,"-304","-303")</f>
        <v>-303</v>
      </c>
      <c r="AD37" s="138" t="str">
        <f>IF(Tendering!$B$22&lt;4,"-304","-303")</f>
        <v>-303</v>
      </c>
      <c r="AE37" s="138" t="str">
        <f>IF(Tendering!$B$22&lt;4,"-304","-303")</f>
        <v>-303</v>
      </c>
      <c r="AF37" s="138" t="str">
        <f>IF(Tendering!$B$22&lt;4,"-304","-303")</f>
        <v>-303</v>
      </c>
      <c r="AG37" s="224" t="s">
        <v>1062</v>
      </c>
      <c r="AH37" s="138" t="str">
        <f>IF(Tendering!$B$22&lt;4,"-304","-303")</f>
        <v>-303</v>
      </c>
      <c r="AI37" s="138" t="str">
        <f>IF(Tendering!$B$22&lt;4,"-304","-303")</f>
        <v>-303</v>
      </c>
      <c r="AJ37" s="138" t="str">
        <f>IF(Tendering!$B$22&lt;4,"-304","-303")</f>
        <v>-303</v>
      </c>
      <c r="AK37" s="138" t="str">
        <f>IF(Tendering!$B$22&lt;4,"-304","-303")</f>
        <v>-303</v>
      </c>
      <c r="AL37" s="138" t="str">
        <f>IF(OR(Tendering!$B$22=7,Tendering!$B$22&lt;4),"-304","-303")</f>
        <v>-304</v>
      </c>
      <c r="AM37" s="138" t="str">
        <f>IF(OR(Tendering!$B$22=7,Tendering!$B$22&lt;4),"-304","-303")</f>
        <v>-304</v>
      </c>
      <c r="AN37" s="138" t="str">
        <f>IF(OR(Tendering!$B$22=7,Tendering!$B$22&lt;4),"-304","-303")</f>
        <v>-304</v>
      </c>
      <c r="AO37" s="138" t="str">
        <f>IF(OR(Tendering!$B$22=7,Tendering!$B$22&lt;4),"-304","-303")</f>
        <v>-304</v>
      </c>
      <c r="AP37" s="138" t="str">
        <f>IF(Configurator!$T$5="5","-304","-306")</f>
        <v>-304</v>
      </c>
      <c r="AQ37" s="138" t="str">
        <f>IF(Configurator!$T$5="5","-304","-306")</f>
        <v>-304</v>
      </c>
      <c r="AR37" s="138" t="str">
        <f>IF(Configurator!$T$5="5","-304",IF(Configurator!$T$5="3","-306","-307"))</f>
        <v>-304</v>
      </c>
      <c r="AS37" s="138" t="str">
        <f>IF(Configurator!$T$5="5","-304","-306")</f>
        <v>-304</v>
      </c>
      <c r="AT37" s="138" t="str">
        <f>IF(Configurator!$T$5="5","-304","-307")</f>
        <v>-304</v>
      </c>
      <c r="AU37" s="138" t="str">
        <f>IF(Configurator!$T$5="5","-304","-307")</f>
        <v>-304</v>
      </c>
      <c r="AV37" s="138" t="str">
        <f>IF(Configurator!$T$5="5","-304","-307")</f>
        <v>-304</v>
      </c>
      <c r="AW37" s="138" t="str">
        <f>IF(Configurator!$T$5="5","-304","-307")</f>
        <v>-304</v>
      </c>
      <c r="AX37" s="138" t="str">
        <f>IF(Configurator!$T$5="5","-304","-307")</f>
        <v>-304</v>
      </c>
      <c r="AY37" s="138" t="str">
        <f>IF(Configurator!$T$5="5","-304","-307")</f>
        <v>-304</v>
      </c>
      <c r="AZ37" s="138" t="str">
        <f>IF(Configurator!$T$5="5","-304","-307")</f>
        <v>-304</v>
      </c>
      <c r="BA37" s="138" t="str">
        <f>IF(Configurator!$T$5="5","-304","-307")</f>
        <v>-304</v>
      </c>
      <c r="BB37" s="136" t="s">
        <v>852</v>
      </c>
      <c r="BC37" s="136" t="s">
        <v>852</v>
      </c>
      <c r="BD37" s="136" t="s">
        <v>852</v>
      </c>
      <c r="BE37" s="138" t="str">
        <f>IF(OR(Configurator!$T$5="0",Configurator!$T$5="1"),"-308",IF(OR(Configurator!$T$5="2",Configurator!$T$5="3",Configurator!$T$5="5"),"-307","-3**"))</f>
        <v>-307</v>
      </c>
      <c r="BF37" s="136" t="s">
        <v>852</v>
      </c>
      <c r="BG37" s="138" t="str">
        <f>IF(OR(Configurator!$T$5="0",Configurator!$T$5="1"),"-308",IF(OR(Configurator!$T$5="2",Configurator!$T$5="3",Configurator!$T$5="5"),"-307","-3**"))</f>
        <v>-307</v>
      </c>
      <c r="BH37" s="138" t="str">
        <f>IF(OR(Configurator!$T$5="0",Configurator!$T$5="1"),"-308",IF(OR(Configurator!$T$5="2",Configurator!$T$5="3",Configurator!$T$5="5"),"-307","-3**"))</f>
        <v>-307</v>
      </c>
      <c r="BI37" s="136" t="s">
        <v>852</v>
      </c>
      <c r="BJ37" s="136" t="s">
        <v>852</v>
      </c>
      <c r="BK37" s="138" t="str">
        <f>IF(OR(Configurator!$T$5="0",Configurator!$T$5="1"),"-308",IF(OR(Configurator!$T$5="2",Configurator!$T$5="3",Configurator!$T$5="5"),"-307","-3**"))</f>
        <v>-307</v>
      </c>
      <c r="BL37" s="138" t="str">
        <f>IF(OR(Configurator!$T$5="0",Configurator!$T$5="1",Configurator!$T$5="4"),"-308",IF(OR(Configurator!$T$5="2",Configurator!$T$5="3",Configurator!$T$5="5"),"-307","-3**"))</f>
        <v>-307</v>
      </c>
      <c r="BM37" s="138" t="str">
        <f>IF(OR(Configurator!$T$5="0",Configurator!$T$5="1",Configurator!$T$5="2"),"-308",IF(OR(Configurator!$T$5="3",Configurator!$T$5="5"),"-307","-3**"))</f>
        <v>-307</v>
      </c>
      <c r="BN37" s="138" t="str">
        <f>IF(OR(Configurator!$T$5="0",Configurator!$T$5="1",Configurator!$T$5="2"),"-308",IF(OR(Configurator!$T$5="3",Configurator!$T$5="5"),"-307","-3**"))</f>
        <v>-307</v>
      </c>
      <c r="BO37" s="138" t="str">
        <f>IF(OR(Configurator!$T$5="0",Configurator!$T$5="1",Configurator!$T$5="6",Configurator!$T$5="4"),"-309",(IF(OR(Configurator!$T$5="2",Configurator!$T$5="3",Configurator!$T$5="5"),"-307","-3**")))</f>
        <v>-307</v>
      </c>
      <c r="BP37" s="136" t="s">
        <v>852</v>
      </c>
      <c r="BQ37" s="138" t="str">
        <f>IF(OR(Configurator!$T$5="0",Configurator!$T$5="1",Configurator!$T$5="6",Configurator!$T$5="4"),"-309",(IF(OR(Configurator!$T$5="2",Configurator!$T$5="3",Configurator!$T$5="5"),"-307","-3**")))</f>
        <v>-307</v>
      </c>
      <c r="BR37" s="138" t="str">
        <f>IF(OR(Configurator!$T$5="0",Configurator!$T$5="1",Configurator!$T$5="2"),"-308",IF(OR(Configurator!$T$5="3",Configurator!$T$5="5"),"-307","-3**"))</f>
        <v>-307</v>
      </c>
      <c r="BS37" s="138" t="str">
        <f>IF(OR(Configurator!$T$5="0",Configurator!$T$5="1",Configurator!$T$5="6",Configurator!$T$5="4"),"-309",(IF(OR(Configurator!$T$5="2",Configurator!$T$5="3",Configurator!$T$5="5"),"-307","-3**")))</f>
        <v>-307</v>
      </c>
      <c r="BT37" s="138" t="str">
        <f>IF(OR(Configurator!$T$5="0",Configurator!$T$5="1",Configurator!$T$5="6",Configurator!$T$5="4"),"-309",(IF(OR(Configurator!$T$5="2",Configurator!$T$5="3",Configurator!$T$5="5"),"-307","-3**")))</f>
        <v>-307</v>
      </c>
      <c r="BU37" s="136" t="s">
        <v>852</v>
      </c>
      <c r="BV37" s="138" t="str">
        <f>IF(OR(Configurator!$T$5="0",Configurator!$T$5="1",Configurator!$T$5="6",Configurator!$T$5="4"),"-309",(IF(OR(Configurator!$T$5="2",Configurator!$T$5="3",Configurator!$T$5="5"),"-307","-3**")))</f>
        <v>-307</v>
      </c>
      <c r="BW37" s="138" t="str">
        <f>IF(OR(Configurator!$T$5="0",Configurator!$T$5="1",Configurator!$T$5="2"),"-308",IF(OR(Configurator!$T$5="3",Configurator!$T$5="5"),"-307","-3**"))</f>
        <v>-307</v>
      </c>
      <c r="BX37" s="138" t="str">
        <f>IF(OR(Configurator!$T$5="0",Configurator!$T$5="1",Configurator!$T$5="6",Configurator!$T$5="4"),"-309",(IF(OR(Configurator!$T$5="3",Configurator!$T$5="5"),"-307",IF(Configurator!$T$5="2","-308","-3**"))))</f>
        <v>-307</v>
      </c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29" t="s">
        <v>1073</v>
      </c>
      <c r="CJ37" s="129" t="s">
        <v>1073</v>
      </c>
      <c r="CK37" s="129" t="s">
        <v>1073</v>
      </c>
      <c r="CL37" s="129" t="s">
        <v>1073</v>
      </c>
      <c r="CM37" s="129" t="s">
        <v>1073</v>
      </c>
      <c r="CN37" s="129" t="s">
        <v>1073</v>
      </c>
      <c r="CO37" s="129" t="s">
        <v>1073</v>
      </c>
      <c r="CP37" s="129" t="s">
        <v>1073</v>
      </c>
      <c r="CQ37" s="129" t="s">
        <v>1073</v>
      </c>
      <c r="CR37" s="129" t="s">
        <v>1073</v>
      </c>
      <c r="CS37" s="129" t="s">
        <v>1073</v>
      </c>
      <c r="CT37" s="129" t="s">
        <v>1073</v>
      </c>
      <c r="CU37" s="129" t="s">
        <v>1073</v>
      </c>
      <c r="CV37" s="129" t="s">
        <v>1073</v>
      </c>
      <c r="CW37" s="129" t="s">
        <v>1073</v>
      </c>
      <c r="CX37" s="129" t="s">
        <v>1073</v>
      </c>
      <c r="CY37" s="129" t="s">
        <v>1073</v>
      </c>
      <c r="CZ37" s="129" t="s">
        <v>1073</v>
      </c>
      <c r="DA37" s="129" t="s">
        <v>1073</v>
      </c>
    </row>
    <row r="38" spans="1:105" ht="15">
      <c r="A38" s="135" t="s">
        <v>1097</v>
      </c>
      <c r="B38" s="136" t="s">
        <v>1073</v>
      </c>
      <c r="C38" s="136" t="s">
        <v>1073</v>
      </c>
      <c r="D38" s="136" t="s">
        <v>1073</v>
      </c>
      <c r="E38" s="136" t="s">
        <v>1073</v>
      </c>
      <c r="F38" s="136" t="s">
        <v>1073</v>
      </c>
      <c r="G38" s="136" t="s">
        <v>1073</v>
      </c>
      <c r="H38" s="136" t="s">
        <v>1073</v>
      </c>
      <c r="I38" s="136" t="s">
        <v>1073</v>
      </c>
      <c r="J38" s="136" t="s">
        <v>1073</v>
      </c>
      <c r="K38" s="136" t="s">
        <v>1073</v>
      </c>
      <c r="L38" s="136" t="s">
        <v>1073</v>
      </c>
      <c r="M38" s="136" t="s">
        <v>1073</v>
      </c>
      <c r="N38" s="136" t="s">
        <v>1073</v>
      </c>
      <c r="O38" s="136" t="s">
        <v>1073</v>
      </c>
      <c r="P38" s="136" t="s">
        <v>1073</v>
      </c>
      <c r="Q38" s="136" t="s">
        <v>1073</v>
      </c>
      <c r="R38" s="136" t="s">
        <v>1073</v>
      </c>
      <c r="S38" s="136" t="s">
        <v>1073</v>
      </c>
      <c r="T38" s="136" t="s">
        <v>1073</v>
      </c>
      <c r="U38" s="136" t="s">
        <v>1073</v>
      </c>
      <c r="V38" s="136" t="s">
        <v>1073</v>
      </c>
      <c r="W38" s="136" t="s">
        <v>1073</v>
      </c>
      <c r="X38" s="136" t="s">
        <v>1073</v>
      </c>
      <c r="Y38" s="136" t="s">
        <v>1073</v>
      </c>
      <c r="Z38" s="136" t="s">
        <v>1073</v>
      </c>
      <c r="AA38" s="136" t="s">
        <v>1073</v>
      </c>
      <c r="AB38" s="136" t="s">
        <v>1073</v>
      </c>
      <c r="AC38" s="136" t="s">
        <v>1073</v>
      </c>
      <c r="AD38" s="136" t="s">
        <v>1073</v>
      </c>
      <c r="AE38" s="136" t="s">
        <v>1073</v>
      </c>
      <c r="AF38" s="136" t="s">
        <v>1073</v>
      </c>
      <c r="AG38" s="153" t="s">
        <v>1073</v>
      </c>
      <c r="AH38" s="136" t="s">
        <v>1073</v>
      </c>
      <c r="AI38" s="136" t="s">
        <v>1073</v>
      </c>
      <c r="AJ38" s="136" t="s">
        <v>1073</v>
      </c>
      <c r="AK38" s="136" t="s">
        <v>1073</v>
      </c>
      <c r="AL38" s="136" t="s">
        <v>1073</v>
      </c>
      <c r="AM38" s="136" t="s">
        <v>1073</v>
      </c>
      <c r="AN38" s="136" t="s">
        <v>1073</v>
      </c>
      <c r="AO38" s="136" t="s">
        <v>1073</v>
      </c>
      <c r="AP38" s="153" t="s">
        <v>1073</v>
      </c>
      <c r="AQ38" s="153" t="s">
        <v>1073</v>
      </c>
      <c r="AR38" s="153" t="s">
        <v>1073</v>
      </c>
      <c r="AS38" s="153" t="s">
        <v>1073</v>
      </c>
      <c r="AT38" s="153" t="s">
        <v>1073</v>
      </c>
      <c r="AU38" s="153" t="s">
        <v>1073</v>
      </c>
      <c r="AV38" s="153" t="s">
        <v>1073</v>
      </c>
      <c r="AW38" s="153" t="s">
        <v>1073</v>
      </c>
      <c r="AX38" s="153" t="s">
        <v>1073</v>
      </c>
      <c r="AY38" s="153" t="s">
        <v>1073</v>
      </c>
      <c r="AZ38" s="153" t="s">
        <v>1073</v>
      </c>
      <c r="BA38" s="153" t="s">
        <v>1073</v>
      </c>
      <c r="BB38" s="153" t="s">
        <v>1073</v>
      </c>
      <c r="BC38" s="153" t="s">
        <v>1073</v>
      </c>
      <c r="BD38" s="153" t="s">
        <v>1073</v>
      </c>
      <c r="BE38" s="153" t="s">
        <v>1073</v>
      </c>
      <c r="BF38" s="153" t="s">
        <v>1073</v>
      </c>
      <c r="BG38" s="153" t="s">
        <v>1073</v>
      </c>
      <c r="BH38" s="153" t="s">
        <v>1073</v>
      </c>
      <c r="BI38" s="153" t="s">
        <v>1073</v>
      </c>
      <c r="BJ38" s="153" t="s">
        <v>1073</v>
      </c>
      <c r="BK38" s="153" t="s">
        <v>1073</v>
      </c>
      <c r="BL38" s="153" t="s">
        <v>1073</v>
      </c>
      <c r="BM38" s="153" t="s">
        <v>1073</v>
      </c>
      <c r="BN38" s="153" t="s">
        <v>1073</v>
      </c>
      <c r="BO38" s="153" t="s">
        <v>1073</v>
      </c>
      <c r="BP38" s="153" t="s">
        <v>1073</v>
      </c>
      <c r="BQ38" s="153" t="s">
        <v>1073</v>
      </c>
      <c r="BR38" s="153" t="s">
        <v>1073</v>
      </c>
      <c r="BS38" s="153" t="s">
        <v>1073</v>
      </c>
      <c r="BT38" s="153" t="s">
        <v>1073</v>
      </c>
      <c r="BU38" s="153" t="s">
        <v>1073</v>
      </c>
      <c r="BV38" s="153" t="s">
        <v>1073</v>
      </c>
      <c r="BW38" s="153" t="s">
        <v>1073</v>
      </c>
      <c r="BX38" s="153" t="s">
        <v>1073</v>
      </c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129" t="s">
        <v>1073</v>
      </c>
      <c r="CJ38" s="129" t="s">
        <v>1073</v>
      </c>
      <c r="CK38" s="129" t="s">
        <v>1073</v>
      </c>
      <c r="CL38" s="129" t="s">
        <v>1073</v>
      </c>
      <c r="CM38" s="129" t="s">
        <v>1073</v>
      </c>
      <c r="CN38" s="129" t="s">
        <v>1073</v>
      </c>
      <c r="CO38" s="129" t="s">
        <v>1073</v>
      </c>
      <c r="CP38" s="129" t="s">
        <v>1073</v>
      </c>
      <c r="CQ38" s="129" t="s">
        <v>1073</v>
      </c>
      <c r="CR38" s="129" t="s">
        <v>1073</v>
      </c>
      <c r="CS38" s="129" t="s">
        <v>1073</v>
      </c>
      <c r="CT38" s="129" t="s">
        <v>1073</v>
      </c>
      <c r="CU38" s="129" t="s">
        <v>1073</v>
      </c>
      <c r="CV38" s="129" t="s">
        <v>1073</v>
      </c>
      <c r="CW38" s="129" t="s">
        <v>1073</v>
      </c>
      <c r="CX38" s="129" t="s">
        <v>1073</v>
      </c>
      <c r="CY38" s="129" t="s">
        <v>1073</v>
      </c>
      <c r="CZ38" s="129" t="s">
        <v>1073</v>
      </c>
      <c r="DA38" s="129" t="s">
        <v>1073</v>
      </c>
    </row>
    <row r="39" spans="1:105" ht="15">
      <c r="A39" s="137" t="s">
        <v>1073</v>
      </c>
      <c r="B39" s="134">
        <v>-401</v>
      </c>
      <c r="C39" s="134">
        <v>-402</v>
      </c>
      <c r="D39" s="134">
        <v>-402</v>
      </c>
      <c r="E39" s="134">
        <v>-402</v>
      </c>
      <c r="F39" s="134">
        <v>-402</v>
      </c>
      <c r="G39" s="134">
        <v>-402</v>
      </c>
      <c r="H39" s="134">
        <v>-402</v>
      </c>
      <c r="I39" s="134">
        <v>-402</v>
      </c>
      <c r="J39" s="134">
        <v>-402</v>
      </c>
      <c r="K39" s="134">
        <v>-402</v>
      </c>
      <c r="L39" s="134">
        <v>-402</v>
      </c>
      <c r="M39" s="134">
        <v>-402</v>
      </c>
      <c r="N39" s="134">
        <v>-402</v>
      </c>
      <c r="O39" s="134">
        <v>-402</v>
      </c>
      <c r="P39" s="134">
        <v>-402</v>
      </c>
      <c r="Q39" s="134">
        <v>-402</v>
      </c>
      <c r="R39" s="134">
        <v>-402</v>
      </c>
      <c r="S39" s="134">
        <v>-402</v>
      </c>
      <c r="T39" s="134">
        <v>-402</v>
      </c>
      <c r="U39" s="134">
        <v>-402</v>
      </c>
      <c r="V39" s="134">
        <v>-402</v>
      </c>
      <c r="W39" s="138" t="str">
        <f>IF(V$37="-304","-405","-402")</f>
        <v>-402</v>
      </c>
      <c r="X39" s="138" t="str">
        <f>IF(X$37="-304","-405","-402")</f>
        <v>-402</v>
      </c>
      <c r="Y39" s="134">
        <v>-405</v>
      </c>
      <c r="Z39" s="138" t="str">
        <f aca="true" t="shared" si="2" ref="Z39:AF39">IF(Z$37="-304","-405","-402")</f>
        <v>-402</v>
      </c>
      <c r="AA39" s="138" t="str">
        <f t="shared" si="2"/>
        <v>-402</v>
      </c>
      <c r="AB39" s="138" t="str">
        <f t="shared" si="2"/>
        <v>-402</v>
      </c>
      <c r="AC39" s="138" t="str">
        <f t="shared" si="2"/>
        <v>-402</v>
      </c>
      <c r="AD39" s="138" t="str">
        <f t="shared" si="2"/>
        <v>-402</v>
      </c>
      <c r="AE39" s="138" t="str">
        <f t="shared" si="2"/>
        <v>-402</v>
      </c>
      <c r="AF39" s="138" t="str">
        <f t="shared" si="2"/>
        <v>-402</v>
      </c>
      <c r="AG39" s="153" t="s">
        <v>990</v>
      </c>
      <c r="AH39" s="138" t="str">
        <f aca="true" t="shared" si="3" ref="AH39:AO39">IF(AH$37="-304","-405","-402")</f>
        <v>-402</v>
      </c>
      <c r="AI39" s="138" t="str">
        <f t="shared" si="3"/>
        <v>-402</v>
      </c>
      <c r="AJ39" s="138" t="str">
        <f t="shared" si="3"/>
        <v>-402</v>
      </c>
      <c r="AK39" s="138" t="str">
        <f t="shared" si="3"/>
        <v>-402</v>
      </c>
      <c r="AL39" s="138" t="str">
        <f t="shared" si="3"/>
        <v>-405</v>
      </c>
      <c r="AM39" s="138" t="str">
        <f t="shared" si="3"/>
        <v>-405</v>
      </c>
      <c r="AN39" s="138" t="str">
        <f t="shared" si="3"/>
        <v>-405</v>
      </c>
      <c r="AO39" s="138" t="str">
        <f t="shared" si="3"/>
        <v>-405</v>
      </c>
      <c r="AP39" s="138" t="str">
        <f>IF(AP$37="-306","-408","-405")</f>
        <v>-405</v>
      </c>
      <c r="AQ39" s="138" t="str">
        <f>IF(AQ$37="-306","-408","-405")</f>
        <v>-405</v>
      </c>
      <c r="AR39" s="138" t="str">
        <f>IF(AR$37="-306","-408",IF(AR$37="-304","-405","-411"))</f>
        <v>-405</v>
      </c>
      <c r="AS39" s="138" t="str">
        <f>IF(AS$37="-306","-408","-405")</f>
        <v>-405</v>
      </c>
      <c r="AT39" s="138" t="str">
        <f aca="true" t="shared" si="4" ref="AT39:BA39">IF(AT$37="-304","-405","-411")</f>
        <v>-405</v>
      </c>
      <c r="AU39" s="138" t="str">
        <f t="shared" si="4"/>
        <v>-405</v>
      </c>
      <c r="AV39" s="138" t="str">
        <f t="shared" si="4"/>
        <v>-405</v>
      </c>
      <c r="AW39" s="138" t="str">
        <f t="shared" si="4"/>
        <v>-405</v>
      </c>
      <c r="AX39" s="138" t="str">
        <f t="shared" si="4"/>
        <v>-405</v>
      </c>
      <c r="AY39" s="138" t="str">
        <f t="shared" si="4"/>
        <v>-405</v>
      </c>
      <c r="AZ39" s="138" t="str">
        <f t="shared" si="4"/>
        <v>-405</v>
      </c>
      <c r="BA39" s="138" t="str">
        <f t="shared" si="4"/>
        <v>-405</v>
      </c>
      <c r="BB39" s="136" t="s">
        <v>685</v>
      </c>
      <c r="BC39" s="136" t="s">
        <v>685</v>
      </c>
      <c r="BD39" s="136" t="s">
        <v>685</v>
      </c>
      <c r="BE39" s="138" t="str">
        <f>IF(OR(Configurator!$T$5="0",Configurator!$T$5="1"),"-414",IF(OR(Configurator!$T$5="2",Configurator!$T$5="3",Configurator!$T$5="5"),"-411","-4**"))</f>
        <v>-411</v>
      </c>
      <c r="BF39" s="136" t="s">
        <v>685</v>
      </c>
      <c r="BG39" s="138" t="str">
        <f>IF(OR(Configurator!$T$5="0",Configurator!$T$5="1"),"-414",IF(OR(Configurator!$T$5="2",Configurator!$T$5="3",Configurator!$T$5="5"),"-411","-4**"))</f>
        <v>-411</v>
      </c>
      <c r="BH39" s="138" t="str">
        <f>IF(OR(Configurator!$T$5="0",Configurator!$T$5="1"),"-414",IF(OR(Configurator!$T$5="2",Configurator!$T$5="3",Configurator!$T$5="5"),"-411","-4**"))</f>
        <v>-411</v>
      </c>
      <c r="BI39" s="136" t="s">
        <v>685</v>
      </c>
      <c r="BJ39" s="136" t="s">
        <v>685</v>
      </c>
      <c r="BK39" s="138" t="str">
        <f>IF(OR(Configurator!$T$5="0",Configurator!$T$5="1"),"-414",IF(OR(Configurator!$T$5="2",Configurator!$T$5="3",Configurator!$T$5="5"),"-411","-4**"))</f>
        <v>-411</v>
      </c>
      <c r="BL39" s="138" t="str">
        <f>IF(OR(Configurator!$T$5="0",Configurator!$T$5="1",Configurator!$T$5="4"),"-414",IF(OR(Configurator!$T$5="2",Configurator!$T$5="3",Configurator!$T$5="5"),"-411","-4**"))</f>
        <v>-411</v>
      </c>
      <c r="BM39" s="138" t="str">
        <f>IF(OR(Configurator!$T$5="0",Configurator!$T$5="1",Configurator!$T$5="2"),"-414",IF(OR(Configurator!$T$5="3",Configurator!$T$5="5"),"-411","-4**"))</f>
        <v>-411</v>
      </c>
      <c r="BN39" s="138" t="str">
        <f>IF(OR(Configurator!$T$5="0",Configurator!$T$5="1",Configurator!$T$5="2"),"-414",IF(OR(Configurator!$T$5="3",Configurator!$T$5="5"),"-411","-4**"))</f>
        <v>-411</v>
      </c>
      <c r="BO39" s="138" t="str">
        <f>IF(OR(Configurator!$T$5="0",Configurator!$T$5="1",Configurator!$T$5="4",Configurator!$T$5="6"),"-414",IF(OR(Configurator!$T$5="2",Configurator!$T$5="3",Configurator!$T$5="5"),"-411","-4**"))</f>
        <v>-411</v>
      </c>
      <c r="BP39" s="136" t="s">
        <v>685</v>
      </c>
      <c r="BQ39" s="138" t="str">
        <f>IF(OR(Configurator!$T$5="0",Configurator!$T$5="1",Configurator!$T$5="4",Configurator!$T$5="6"),"-414",IF(OR(Configurator!$T$5="2",Configurator!$T$5="3",Configurator!$T$5="5"),"-411","-4**"))</f>
        <v>-411</v>
      </c>
      <c r="BR39" s="138" t="str">
        <f>IF(OR(Configurator!$T$5="0",Configurator!$T$5="1",Configurator!$T$5="2"),"-414",IF(OR(Configurator!$T$5="3",Configurator!$T$5="5"),"-411","-4**"))</f>
        <v>-411</v>
      </c>
      <c r="BS39" s="138" t="str">
        <f>IF(OR(Configurator!$T$5="0",Configurator!$T$5="1",Configurator!$T$5="4",Configurator!$T$5="6"),"-414",IF(OR(Configurator!$T$5="2",Configurator!$T$5="3",Configurator!$T$5="5"),"-411","-4**"))</f>
        <v>-411</v>
      </c>
      <c r="BT39" s="138" t="str">
        <f>IF(OR(Configurator!$T$5="0",Configurator!$T$5="1",Configurator!$T$5="4",Configurator!$T$5="6"),"-414",IF(OR(Configurator!$T$5="2",Configurator!$T$5="3",Configurator!$T$5="5"),"-411","-4**"))</f>
        <v>-411</v>
      </c>
      <c r="BU39" s="136" t="s">
        <v>685</v>
      </c>
      <c r="BV39" s="138" t="str">
        <f>IF(OR(Configurator!$T$5="0",Configurator!$T$5="1",Configurator!$T$5="4",Configurator!$T$5="6"),"-414",IF(OR(Configurator!$T$5="2",Configurator!$T$5="3",Configurator!$T$5="5"),"-411","-4**"))</f>
        <v>-411</v>
      </c>
      <c r="BW39" s="138" t="str">
        <f>IF(OR(Configurator!$T$5="0",Configurator!$T$5="1",Configurator!$T$5="2"),"-414",IF(OR(Configurator!$T$5="3",Configurator!$T$5="5"),"-411","-4**"))</f>
        <v>-411</v>
      </c>
      <c r="BX39" s="138" t="str">
        <f>IF(OR(Configurator!$T$5="0",Configurator!$T$5="1",Configurator!$T$5="4",Configurator!$T$5="6",Configurator!$T$5="2"),"-414",IF(OR(Configurator!$T$5="3",Configurator!$T$5="5"),"-411","-4**"))</f>
        <v>-411</v>
      </c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29" t="s">
        <v>1073</v>
      </c>
      <c r="CJ39" s="129" t="s">
        <v>1073</v>
      </c>
      <c r="CK39" s="129" t="s">
        <v>1073</v>
      </c>
      <c r="CL39" s="129" t="s">
        <v>1073</v>
      </c>
      <c r="CM39" s="129" t="s">
        <v>1073</v>
      </c>
      <c r="CN39" s="129" t="s">
        <v>1073</v>
      </c>
      <c r="CO39" s="129" t="s">
        <v>1073</v>
      </c>
      <c r="CP39" s="129" t="s">
        <v>1073</v>
      </c>
      <c r="CQ39" s="129" t="s">
        <v>1073</v>
      </c>
      <c r="CR39" s="129" t="s">
        <v>1073</v>
      </c>
      <c r="CS39" s="129" t="s">
        <v>1073</v>
      </c>
      <c r="CT39" s="129" t="s">
        <v>1073</v>
      </c>
      <c r="CU39" s="129" t="s">
        <v>1073</v>
      </c>
      <c r="CV39" s="129" t="s">
        <v>1073</v>
      </c>
      <c r="CW39" s="129" t="s">
        <v>1073</v>
      </c>
      <c r="CX39" s="129" t="s">
        <v>1073</v>
      </c>
      <c r="CY39" s="129" t="s">
        <v>1073</v>
      </c>
      <c r="CZ39" s="129" t="s">
        <v>1073</v>
      </c>
      <c r="DA39" s="129" t="s">
        <v>1073</v>
      </c>
    </row>
    <row r="40" spans="1:105" ht="15">
      <c r="A40" s="137" t="s">
        <v>1073</v>
      </c>
      <c r="B40" s="134">
        <v>1</v>
      </c>
      <c r="C40" s="134">
        <v>2</v>
      </c>
      <c r="D40" s="134">
        <v>2</v>
      </c>
      <c r="E40" s="134">
        <v>2</v>
      </c>
      <c r="F40" s="134">
        <v>2</v>
      </c>
      <c r="G40" s="134">
        <v>2</v>
      </c>
      <c r="H40" s="134">
        <v>2</v>
      </c>
      <c r="I40" s="134">
        <v>2</v>
      </c>
      <c r="J40" s="134" t="s">
        <v>1093</v>
      </c>
      <c r="K40" s="134" t="s">
        <v>1093</v>
      </c>
      <c r="L40" s="134" t="s">
        <v>1093</v>
      </c>
      <c r="M40" s="134" t="s">
        <v>1093</v>
      </c>
      <c r="N40" s="134" t="s">
        <v>1093</v>
      </c>
      <c r="O40" s="134" t="s">
        <v>1093</v>
      </c>
      <c r="P40" s="134" t="s">
        <v>1093</v>
      </c>
      <c r="Q40" s="134" t="s">
        <v>1093</v>
      </c>
      <c r="R40" s="134" t="s">
        <v>1093</v>
      </c>
      <c r="S40" s="134" t="s">
        <v>1093</v>
      </c>
      <c r="T40" s="134" t="s">
        <v>1093</v>
      </c>
      <c r="U40" s="134" t="s">
        <v>1093</v>
      </c>
      <c r="V40" s="134" t="s">
        <v>1093</v>
      </c>
      <c r="W40" s="138" t="str">
        <f>IF(V$37="-304","E","B")</f>
        <v>B</v>
      </c>
      <c r="X40" s="138" t="str">
        <f>IF(X$37="-304","E","B")</f>
        <v>B</v>
      </c>
      <c r="Y40" s="134" t="s">
        <v>1240</v>
      </c>
      <c r="Z40" s="138" t="str">
        <f aca="true" t="shared" si="5" ref="Z40:AF40">IF(Z$37="-304","E","B")</f>
        <v>B</v>
      </c>
      <c r="AA40" s="138" t="str">
        <f t="shared" si="5"/>
        <v>B</v>
      </c>
      <c r="AB40" s="138" t="str">
        <f t="shared" si="5"/>
        <v>B</v>
      </c>
      <c r="AC40" s="138" t="str">
        <f t="shared" si="5"/>
        <v>B</v>
      </c>
      <c r="AD40" s="138" t="str">
        <f t="shared" si="5"/>
        <v>B</v>
      </c>
      <c r="AE40" s="138" t="str">
        <f t="shared" si="5"/>
        <v>B</v>
      </c>
      <c r="AF40" s="138" t="str">
        <f t="shared" si="5"/>
        <v>B</v>
      </c>
      <c r="AG40" s="217" t="s">
        <v>36</v>
      </c>
      <c r="AH40" s="138" t="str">
        <f aca="true" t="shared" si="6" ref="AH40:AO40">IF(AH$37="-304","E","B")</f>
        <v>B</v>
      </c>
      <c r="AI40" s="138" t="str">
        <f t="shared" si="6"/>
        <v>B</v>
      </c>
      <c r="AJ40" s="138" t="str">
        <f t="shared" si="6"/>
        <v>B</v>
      </c>
      <c r="AK40" s="138" t="str">
        <f t="shared" si="6"/>
        <v>B</v>
      </c>
      <c r="AL40" s="138" t="str">
        <f t="shared" si="6"/>
        <v>E</v>
      </c>
      <c r="AM40" s="138" t="str">
        <f t="shared" si="6"/>
        <v>E</v>
      </c>
      <c r="AN40" s="138" t="str">
        <f t="shared" si="6"/>
        <v>E</v>
      </c>
      <c r="AO40" s="138" t="str">
        <f t="shared" si="6"/>
        <v>E</v>
      </c>
      <c r="AP40" s="138" t="str">
        <f>IF(AP$37="-306","H","E")</f>
        <v>E</v>
      </c>
      <c r="AQ40" s="138" t="str">
        <f>IF(AQ$37="-306","H","E")</f>
        <v>E</v>
      </c>
      <c r="AR40" s="138" t="str">
        <f>IF(AR$37="-306","H",IF(AR$37="-304","E","K"))</f>
        <v>E</v>
      </c>
      <c r="AS40" s="138" t="str">
        <f>IF(AS$37="-306","H","E")</f>
        <v>E</v>
      </c>
      <c r="AT40" s="138" t="str">
        <f aca="true" t="shared" si="7" ref="AT40:BA40">IF(AT$37="-304","E","K")</f>
        <v>E</v>
      </c>
      <c r="AU40" s="138" t="str">
        <f t="shared" si="7"/>
        <v>E</v>
      </c>
      <c r="AV40" s="138" t="str">
        <f t="shared" si="7"/>
        <v>E</v>
      </c>
      <c r="AW40" s="138" t="str">
        <f t="shared" si="7"/>
        <v>E</v>
      </c>
      <c r="AX40" s="138" t="str">
        <f t="shared" si="7"/>
        <v>E</v>
      </c>
      <c r="AY40" s="138" t="str">
        <f t="shared" si="7"/>
        <v>E</v>
      </c>
      <c r="AZ40" s="138" t="str">
        <f t="shared" si="7"/>
        <v>E</v>
      </c>
      <c r="BA40" s="138" t="str">
        <f t="shared" si="7"/>
        <v>E</v>
      </c>
      <c r="BB40" s="134" t="s">
        <v>45</v>
      </c>
      <c r="BC40" s="134" t="s">
        <v>45</v>
      </c>
      <c r="BD40" s="134" t="s">
        <v>45</v>
      </c>
      <c r="BE40" s="138" t="str">
        <f>IF(OR(Configurator!$T$5="0",Configurator!$T$5="1"),"N",IF(OR(Configurator!$T$5="2",Configurator!$T$5="3",Configurator!$T$5="5"),"K","*"))</f>
        <v>K</v>
      </c>
      <c r="BF40" s="134" t="s">
        <v>45</v>
      </c>
      <c r="BG40" s="138" t="str">
        <f>IF(OR(Configurator!$T$5="0",Configurator!$T$5="1"),"N",IF(OR(Configurator!$T$5="2",Configurator!$T$5="3",Configurator!$T$5="5"),"K","*"))</f>
        <v>K</v>
      </c>
      <c r="BH40" s="138" t="str">
        <f>IF(OR(Configurator!$T$5="0",Configurator!$T$5="1"),"N",IF(OR(Configurator!$T$5="2",Configurator!$T$5="3",Configurator!$T$5="5"),"K","*"))</f>
        <v>K</v>
      </c>
      <c r="BI40" s="134" t="s">
        <v>45</v>
      </c>
      <c r="BJ40" s="134" t="s">
        <v>45</v>
      </c>
      <c r="BK40" s="138" t="str">
        <f>IF(OR(Configurator!$T$5="0",Configurator!$T$5="1"),"N",IF(OR(Configurator!$T$5="2",Configurator!$T$5="3",Configurator!$T$5="5"),"K","*"))</f>
        <v>K</v>
      </c>
      <c r="BL40" s="138" t="str">
        <f>IF(OR(Configurator!$T$5="0",Configurator!$T$5="1",Configurator!$T$5="4"),"N",IF(OR(Configurator!$T$5="2",Configurator!$T$5="3",Configurator!$T$5="5"),"K","*"))</f>
        <v>K</v>
      </c>
      <c r="BM40" s="138" t="str">
        <f>IF(OR(Configurator!$T$5="0",Configurator!$T$5="1",Configurator!$T$5="2"),"N",IF(OR(Configurator!$T$5="3",Configurator!$T$5="5"),"K","*"))</f>
        <v>K</v>
      </c>
      <c r="BN40" s="138" t="str">
        <f>IF(OR(Configurator!$T$5="0",Configurator!$T$5="1",Configurator!$T$5="2"),"N",IF(OR(Configurator!$T$5="3",Configurator!$T$5="5"),"K","*"))</f>
        <v>K</v>
      </c>
      <c r="BO40" s="138" t="str">
        <f>IF(OR(Configurator!$T$5="0",Configurator!$T$5="1",Configurator!$T$5="4",Configurator!$T$5="6"),"N",IF(OR(Configurator!$T$5="2",Configurator!$T$5="3",Configurator!$T$5="5"),"K","*"))</f>
        <v>K</v>
      </c>
      <c r="BP40" s="134" t="s">
        <v>45</v>
      </c>
      <c r="BQ40" s="138" t="str">
        <f>IF(OR(Configurator!$T$5="0",Configurator!$T$5="1",Configurator!$T$5="4",Configurator!$T$5="6"),"N",IF(OR(Configurator!$T$5="2",Configurator!$T$5="3",Configurator!$T$5="5"),"K","*"))</f>
        <v>K</v>
      </c>
      <c r="BR40" s="138" t="str">
        <f>IF(OR(Configurator!$T$5="0",Configurator!$T$5="1",Configurator!$T$5="2"),"N",IF(OR(Configurator!$T$5="3",Configurator!$T$5="5"),"K","*"))</f>
        <v>K</v>
      </c>
      <c r="BS40" s="138" t="str">
        <f>IF(OR(Configurator!$T$5="0",Configurator!$T$5="1",Configurator!$T$5="4",Configurator!$T$5="6"),"N",IF(OR(Configurator!$T$5="2",Configurator!$T$5="3",Configurator!$T$5="5"),"K","*"))</f>
        <v>K</v>
      </c>
      <c r="BT40" s="138" t="str">
        <f>IF(OR(Configurator!$T$5="0",Configurator!$T$5="1",Configurator!$T$5="4",Configurator!$T$5="6"),"N",IF(OR(Configurator!$T$5="2",Configurator!$T$5="3",Configurator!$T$5="5"),"K","*"))</f>
        <v>K</v>
      </c>
      <c r="BU40" s="134" t="s">
        <v>45</v>
      </c>
      <c r="BV40" s="138" t="str">
        <f>IF(OR(Configurator!$T$5="0",Configurator!$T$5="1",Configurator!$T$5="4",Configurator!$T$5="6"),"N",IF(OR(Configurator!$T$5="2",Configurator!$T$5="3",Configurator!$T$5="5"),"K","*"))</f>
        <v>K</v>
      </c>
      <c r="BW40" s="138" t="str">
        <f>IF(OR(Configurator!$T$5="0",Configurator!$T$5="1",Configurator!$T$5="2"),"N",IF(OR(Configurator!$T$5="3",Configurator!$T$5="5"),"K","*"))</f>
        <v>K</v>
      </c>
      <c r="BX40" s="138" t="str">
        <f>IF(OR(Configurator!$T$5="0",Configurator!$T$5="1",Configurator!$T$5="4",Configurator!$T$5="6",Configurator!$T$5="2"),"N",IF(OR(Configurator!$T$5="3",Configurator!$T$5="5"),"K","*"))</f>
        <v>K</v>
      </c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29" t="s">
        <v>1073</v>
      </c>
      <c r="CJ40" s="129" t="s">
        <v>1073</v>
      </c>
      <c r="CK40" s="129" t="s">
        <v>1073</v>
      </c>
      <c r="CL40" s="129" t="s">
        <v>1073</v>
      </c>
      <c r="CM40" s="129" t="s">
        <v>1073</v>
      </c>
      <c r="CN40" s="129" t="s">
        <v>1073</v>
      </c>
      <c r="CO40" s="129" t="s">
        <v>1073</v>
      </c>
      <c r="CP40" s="129" t="s">
        <v>1073</v>
      </c>
      <c r="CQ40" s="129" t="s">
        <v>1073</v>
      </c>
      <c r="CR40" s="129" t="s">
        <v>1073</v>
      </c>
      <c r="CS40" s="129" t="s">
        <v>1073</v>
      </c>
      <c r="CT40" s="129" t="s">
        <v>1073</v>
      </c>
      <c r="CU40" s="129" t="s">
        <v>1073</v>
      </c>
      <c r="CV40" s="129" t="s">
        <v>1073</v>
      </c>
      <c r="CW40" s="129" t="s">
        <v>1073</v>
      </c>
      <c r="CX40" s="129" t="s">
        <v>1073</v>
      </c>
      <c r="CY40" s="129" t="s">
        <v>1073</v>
      </c>
      <c r="CZ40" s="129" t="s">
        <v>1073</v>
      </c>
      <c r="DA40" s="129" t="s">
        <v>1073</v>
      </c>
    </row>
    <row r="41" spans="1:105" ht="14.25">
      <c r="A41" s="133" t="s">
        <v>1073</v>
      </c>
      <c r="B41" s="134">
        <v>-401</v>
      </c>
      <c r="C41" s="134">
        <v>-404</v>
      </c>
      <c r="D41" s="134">
        <v>-404</v>
      </c>
      <c r="E41" s="134">
        <v>-404</v>
      </c>
      <c r="F41" s="134">
        <v>-404</v>
      </c>
      <c r="G41" s="134">
        <v>-404</v>
      </c>
      <c r="H41" s="134">
        <v>-404</v>
      </c>
      <c r="I41" s="134">
        <v>-404</v>
      </c>
      <c r="J41" s="134">
        <v>-404</v>
      </c>
      <c r="K41" s="134">
        <v>-404</v>
      </c>
      <c r="L41" s="134">
        <v>-404</v>
      </c>
      <c r="M41" s="134">
        <v>-404</v>
      </c>
      <c r="N41" s="134">
        <v>-404</v>
      </c>
      <c r="O41" s="134">
        <v>-404</v>
      </c>
      <c r="P41" s="134">
        <v>-404</v>
      </c>
      <c r="Q41" s="134">
        <v>-404</v>
      </c>
      <c r="R41" s="134">
        <v>-404</v>
      </c>
      <c r="S41" s="134">
        <v>-404</v>
      </c>
      <c r="T41" s="134">
        <v>-404</v>
      </c>
      <c r="U41" s="134">
        <v>-404</v>
      </c>
      <c r="V41" s="134">
        <v>-404</v>
      </c>
      <c r="W41" s="138" t="str">
        <f>IF(V$37="-304","-407","-404")</f>
        <v>-404</v>
      </c>
      <c r="X41" s="138" t="str">
        <f>IF(X$37="-304","-407","-404")</f>
        <v>-404</v>
      </c>
      <c r="Y41" s="134">
        <v>-407</v>
      </c>
      <c r="Z41" s="138" t="str">
        <f aca="true" t="shared" si="8" ref="Z41:AF41">IF(Z$37="-304","-407","-404")</f>
        <v>-404</v>
      </c>
      <c r="AA41" s="138" t="str">
        <f t="shared" si="8"/>
        <v>-404</v>
      </c>
      <c r="AB41" s="138" t="str">
        <f t="shared" si="8"/>
        <v>-404</v>
      </c>
      <c r="AC41" s="138" t="str">
        <f t="shared" si="8"/>
        <v>-404</v>
      </c>
      <c r="AD41" s="138" t="str">
        <f t="shared" si="8"/>
        <v>-404</v>
      </c>
      <c r="AE41" s="138" t="str">
        <f t="shared" si="8"/>
        <v>-404</v>
      </c>
      <c r="AF41" s="138" t="str">
        <f t="shared" si="8"/>
        <v>-404</v>
      </c>
      <c r="AG41" s="153" t="s">
        <v>991</v>
      </c>
      <c r="AH41" s="138" t="str">
        <f aca="true" t="shared" si="9" ref="AH41:AM41">IF(AH$37="-304","-407","-404")</f>
        <v>-404</v>
      </c>
      <c r="AI41" s="138" t="str">
        <f t="shared" si="9"/>
        <v>-404</v>
      </c>
      <c r="AJ41" s="138" t="str">
        <f t="shared" si="9"/>
        <v>-404</v>
      </c>
      <c r="AK41" s="138" t="str">
        <f t="shared" si="9"/>
        <v>-404</v>
      </c>
      <c r="AL41" s="138" t="str">
        <f t="shared" si="9"/>
        <v>-407</v>
      </c>
      <c r="AM41" s="138" t="str">
        <f t="shared" si="9"/>
        <v>-407</v>
      </c>
      <c r="AN41" s="138" t="str">
        <f>IF(AN$37="-304","-406","-404")</f>
        <v>-406</v>
      </c>
      <c r="AO41" s="138" t="str">
        <f>IF(AO$37="-304","-406","-404")</f>
        <v>-406</v>
      </c>
      <c r="AP41" s="138" t="str">
        <f>IF(AP$37="-306","-409","-406")</f>
        <v>-406</v>
      </c>
      <c r="AQ41" s="138" t="str">
        <f>IF(AQ$37="-306","-409","-406")</f>
        <v>-406</v>
      </c>
      <c r="AR41" s="138" t="str">
        <f>IF(AR$37="-306","-409",IF(AR$37="-304","-406","-412"))</f>
        <v>-406</v>
      </c>
      <c r="AS41" s="138" t="str">
        <f>IF(AS$37="-306","-409","-406")</f>
        <v>-406</v>
      </c>
      <c r="AT41" s="138" t="str">
        <f aca="true" t="shared" si="10" ref="AT41:BA41">IF(AT$37="-304","-406","-412")</f>
        <v>-406</v>
      </c>
      <c r="AU41" s="138" t="str">
        <f t="shared" si="10"/>
        <v>-406</v>
      </c>
      <c r="AV41" s="138" t="str">
        <f t="shared" si="10"/>
        <v>-406</v>
      </c>
      <c r="AW41" s="138" t="str">
        <f t="shared" si="10"/>
        <v>-406</v>
      </c>
      <c r="AX41" s="138" t="str">
        <f t="shared" si="10"/>
        <v>-406</v>
      </c>
      <c r="AY41" s="138" t="str">
        <f t="shared" si="10"/>
        <v>-406</v>
      </c>
      <c r="AZ41" s="138" t="str">
        <f t="shared" si="10"/>
        <v>-406</v>
      </c>
      <c r="BA41" s="138" t="str">
        <f t="shared" si="10"/>
        <v>-406</v>
      </c>
      <c r="BB41" s="136" t="s">
        <v>686</v>
      </c>
      <c r="BC41" s="136" t="s">
        <v>686</v>
      </c>
      <c r="BD41" s="136" t="s">
        <v>686</v>
      </c>
      <c r="BE41" s="138" t="str">
        <f>IF(OR(Configurator!$T$5="0",Configurator!$T$5="1"),"-415",IF(OR(Configurator!$T$5="2",Configurator!$T$5="3",Configurator!$T$5="5"),"-412","-4**"))</f>
        <v>-412</v>
      </c>
      <c r="BF41" s="136" t="s">
        <v>686</v>
      </c>
      <c r="BG41" s="138" t="str">
        <f>IF(OR(Configurator!$T$5="0",Configurator!$T$5="1"),"-415",IF(OR(Configurator!$T$5="2",Configurator!$T$5="3",Configurator!$T$5="5"),"-412","-4**"))</f>
        <v>-412</v>
      </c>
      <c r="BH41" s="138" t="str">
        <f>IF(OR(Configurator!$T$5="0",Configurator!$T$5="1"),"-415",IF(OR(Configurator!$T$5="2",Configurator!$T$5="3",Configurator!$T$5="5"),"-412","-4**"))</f>
        <v>-412</v>
      </c>
      <c r="BI41" s="136" t="s">
        <v>686</v>
      </c>
      <c r="BJ41" s="136" t="s">
        <v>686</v>
      </c>
      <c r="BK41" s="138" t="str">
        <f>IF(OR(Configurator!$T$5="0",Configurator!$T$5="1"),"-415",IF(OR(Configurator!$T$5="2",Configurator!$T$5="3",Configurator!$T$5="5"),"-412","-4**"))</f>
        <v>-412</v>
      </c>
      <c r="BL41" s="138" t="str">
        <f>IF(OR(Configurator!$T$5="0",Configurator!$T$5="1",Configurator!$T$5="4"),"-415",IF(OR(Configurator!$T$5="2",Configurator!$T$5="3",Configurator!$T$5="5"),"-412","-4**"))</f>
        <v>-412</v>
      </c>
      <c r="BM41" s="138" t="str">
        <f>IF(OR(Configurator!$T$5="0",Configurator!$T$5="1",Configurator!$T$5="2"),"-415",IF(OR(Configurator!$T$5="3",Configurator!$T$5="5"),"-412","-4**"))</f>
        <v>-412</v>
      </c>
      <c r="BN41" s="138" t="str">
        <f>IF(OR(Configurator!$T$5="0",Configurator!$T$5="1",Configurator!$T$5="2"),"-415",IF(OR(Configurator!$T$5="3",Configurator!$T$5="5"),"-412","-4**"))</f>
        <v>-412</v>
      </c>
      <c r="BO41" s="138" t="str">
        <f>IF(OR(Configurator!$T$5="0",Configurator!$T$5="1",Configurator!$T$5="4",Configurator!$T$5="6"),"-415",IF(OR(Configurator!$T$5="2",Configurator!$T$5="3",Configurator!$T$5="5"),"-412","-4**"))</f>
        <v>-412</v>
      </c>
      <c r="BP41" s="136" t="s">
        <v>686</v>
      </c>
      <c r="BQ41" s="138" t="str">
        <f>IF(OR(Configurator!$T$5="0",Configurator!$T$5="1",Configurator!$T$5="4",Configurator!$T$5="6"),"-415",IF(OR(Configurator!$T$5="2",Configurator!$T$5="3",Configurator!$T$5="5"),"-412","-4**"))</f>
        <v>-412</v>
      </c>
      <c r="BR41" s="138" t="str">
        <f>IF(OR(Configurator!$T$5="0",Configurator!$T$5="1",Configurator!$T$5="2"),"-415",IF(OR(Configurator!$T$5="3",Configurator!$T$5="5"),"-412","-4**"))</f>
        <v>-412</v>
      </c>
      <c r="BS41" s="138" t="str">
        <f>IF(OR(Configurator!$T$5="0",Configurator!$T$5="1",Configurator!$T$5="4",Configurator!$T$5="6"),"-415",IF(OR(Configurator!$T$5="2",Configurator!$T$5="3",Configurator!$T$5="5"),"-412","-4**"))</f>
        <v>-412</v>
      </c>
      <c r="BT41" s="138" t="str">
        <f>IF(OR(Configurator!$T$5="0",Configurator!$T$5="1",Configurator!$T$5="4",Configurator!$T$5="6"),"-415",IF(OR(Configurator!$T$5="2",Configurator!$T$5="3",Configurator!$T$5="5"),"-412","-4**"))</f>
        <v>-412</v>
      </c>
      <c r="BU41" s="136" t="s">
        <v>686</v>
      </c>
      <c r="BV41" s="138" t="str">
        <f>IF(OR(Configurator!$T$5="0",Configurator!$T$5="1",Configurator!$T$5="4",Configurator!$T$5="6"),"-415",IF(OR(Configurator!$T$5="2",Configurator!$T$5="3",Configurator!$T$5="5"),"-412","-4**"))</f>
        <v>-412</v>
      </c>
      <c r="BW41" s="138" t="str">
        <f>IF(OR(Configurator!$T$5="0",Configurator!$T$5="1",Configurator!$T$5="2"),"-415",IF(OR(Configurator!$T$5="3",Configurator!$T$5="5"),"-412","-4**"))</f>
        <v>-412</v>
      </c>
      <c r="BX41" s="138" t="str">
        <f>IF(OR(Configurator!$T$5="0",Configurator!$T$5="1",Configurator!$T$5="4",Configurator!$T$5="6",Configurator!$T$5="2"),"-415",IF(OR(Configurator!$T$5="3",Configurator!$T$5="5"),"-412","-4**"))</f>
        <v>-412</v>
      </c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29" t="s">
        <v>1073</v>
      </c>
      <c r="CJ41" s="129" t="s">
        <v>1073</v>
      </c>
      <c r="CK41" s="129" t="s">
        <v>1073</v>
      </c>
      <c r="CL41" s="129" t="s">
        <v>1073</v>
      </c>
      <c r="CM41" s="129" t="s">
        <v>1073</v>
      </c>
      <c r="CN41" s="129" t="s">
        <v>1073</v>
      </c>
      <c r="CO41" s="129" t="s">
        <v>1073</v>
      </c>
      <c r="CP41" s="129" t="s">
        <v>1073</v>
      </c>
      <c r="CQ41" s="129" t="s">
        <v>1073</v>
      </c>
      <c r="CR41" s="129" t="s">
        <v>1073</v>
      </c>
      <c r="CS41" s="129" t="s">
        <v>1073</v>
      </c>
      <c r="CT41" s="129" t="s">
        <v>1073</v>
      </c>
      <c r="CU41" s="129" t="s">
        <v>1073</v>
      </c>
      <c r="CV41" s="129" t="s">
        <v>1073</v>
      </c>
      <c r="CW41" s="129" t="s">
        <v>1073</v>
      </c>
      <c r="CX41" s="129" t="s">
        <v>1073</v>
      </c>
      <c r="CY41" s="129" t="s">
        <v>1073</v>
      </c>
      <c r="CZ41" s="129" t="s">
        <v>1073</v>
      </c>
      <c r="DA41" s="129" t="s">
        <v>1073</v>
      </c>
    </row>
    <row r="42" spans="1:105" ht="14.25">
      <c r="A42" s="133" t="s">
        <v>1073</v>
      </c>
      <c r="B42" s="134">
        <v>1</v>
      </c>
      <c r="C42" s="134">
        <v>4</v>
      </c>
      <c r="D42" s="134">
        <v>4</v>
      </c>
      <c r="E42" s="134">
        <v>4</v>
      </c>
      <c r="F42" s="134">
        <v>4</v>
      </c>
      <c r="G42" s="134">
        <v>4</v>
      </c>
      <c r="H42" s="134">
        <v>4</v>
      </c>
      <c r="I42" s="134">
        <v>4</v>
      </c>
      <c r="J42" s="134" t="s">
        <v>1096</v>
      </c>
      <c r="K42" s="134" t="s">
        <v>1096</v>
      </c>
      <c r="L42" s="134" t="s">
        <v>1096</v>
      </c>
      <c r="M42" s="134" t="s">
        <v>1096</v>
      </c>
      <c r="N42" s="134" t="s">
        <v>1096</v>
      </c>
      <c r="O42" s="134" t="s">
        <v>1096</v>
      </c>
      <c r="P42" s="134" t="s">
        <v>1096</v>
      </c>
      <c r="Q42" s="134" t="s">
        <v>1096</v>
      </c>
      <c r="R42" s="134" t="s">
        <v>1096</v>
      </c>
      <c r="S42" s="134" t="s">
        <v>1096</v>
      </c>
      <c r="T42" s="134" t="s">
        <v>1096</v>
      </c>
      <c r="U42" s="134" t="s">
        <v>1096</v>
      </c>
      <c r="V42" s="134" t="s">
        <v>1096</v>
      </c>
      <c r="W42" s="138" t="str">
        <f>IF(V$37="-304","G","D")</f>
        <v>D</v>
      </c>
      <c r="X42" s="138" t="str">
        <f>IF(X$37="-304","G","D")</f>
        <v>D</v>
      </c>
      <c r="Y42" s="134" t="s">
        <v>17</v>
      </c>
      <c r="Z42" s="138" t="str">
        <f aca="true" t="shared" si="11" ref="Z42:AF42">IF(Z$37="-304","G","D")</f>
        <v>D</v>
      </c>
      <c r="AA42" s="138" t="str">
        <f t="shared" si="11"/>
        <v>D</v>
      </c>
      <c r="AB42" s="138" t="str">
        <f t="shared" si="11"/>
        <v>D</v>
      </c>
      <c r="AC42" s="138" t="str">
        <f t="shared" si="11"/>
        <v>D</v>
      </c>
      <c r="AD42" s="138" t="str">
        <f t="shared" si="11"/>
        <v>D</v>
      </c>
      <c r="AE42" s="138" t="str">
        <f t="shared" si="11"/>
        <v>D</v>
      </c>
      <c r="AF42" s="138" t="str">
        <f t="shared" si="11"/>
        <v>D</v>
      </c>
      <c r="AG42" s="217" t="s">
        <v>38</v>
      </c>
      <c r="AH42" s="138" t="str">
        <f aca="true" t="shared" si="12" ref="AH42:AM42">IF(AH$37="-304","G","D")</f>
        <v>D</v>
      </c>
      <c r="AI42" s="138" t="str">
        <f t="shared" si="12"/>
        <v>D</v>
      </c>
      <c r="AJ42" s="138" t="str">
        <f t="shared" si="12"/>
        <v>D</v>
      </c>
      <c r="AK42" s="138" t="str">
        <f t="shared" si="12"/>
        <v>D</v>
      </c>
      <c r="AL42" s="138" t="str">
        <f t="shared" si="12"/>
        <v>G</v>
      </c>
      <c r="AM42" s="138" t="str">
        <f t="shared" si="12"/>
        <v>G</v>
      </c>
      <c r="AN42" s="138" t="str">
        <f>IF(AN$37="-304","F","D")</f>
        <v>F</v>
      </c>
      <c r="AO42" s="138" t="str">
        <f>IF(AO$37="-304","F","D")</f>
        <v>F</v>
      </c>
      <c r="AP42" s="138" t="str">
        <f>IF(AP$37="-306","I","F")</f>
        <v>F</v>
      </c>
      <c r="AQ42" s="138" t="str">
        <f>IF(AQ$37="-306","I","F")</f>
        <v>F</v>
      </c>
      <c r="AR42" s="138" t="str">
        <f>IF(AR$37="-306","I",IF(AR$37="-304","F","L"))</f>
        <v>F</v>
      </c>
      <c r="AS42" s="138" t="str">
        <f>IF(AS$37="-306","I","F")</f>
        <v>F</v>
      </c>
      <c r="AT42" s="138" t="str">
        <f aca="true" t="shared" si="13" ref="AT42:BA42">IF(AT$37="-304","F","L")</f>
        <v>F</v>
      </c>
      <c r="AU42" s="138" t="str">
        <f t="shared" si="13"/>
        <v>F</v>
      </c>
      <c r="AV42" s="138" t="str">
        <f t="shared" si="13"/>
        <v>F</v>
      </c>
      <c r="AW42" s="138" t="str">
        <f t="shared" si="13"/>
        <v>F</v>
      </c>
      <c r="AX42" s="138" t="str">
        <f t="shared" si="13"/>
        <v>F</v>
      </c>
      <c r="AY42" s="138" t="str">
        <f t="shared" si="13"/>
        <v>F</v>
      </c>
      <c r="AZ42" s="138" t="str">
        <f t="shared" si="13"/>
        <v>F</v>
      </c>
      <c r="BA42" s="138" t="str">
        <f t="shared" si="13"/>
        <v>F</v>
      </c>
      <c r="BB42" s="134" t="s">
        <v>46</v>
      </c>
      <c r="BC42" s="134" t="s">
        <v>46</v>
      </c>
      <c r="BD42" s="134" t="s">
        <v>46</v>
      </c>
      <c r="BE42" s="138" t="str">
        <f>IF(OR(Configurator!$T$5="0",Configurator!$T$5="1"),"O",IF(OR(Configurator!$T$5="2",Configurator!$T$5="3",Configurator!$T$5="5"),"L","*"))</f>
        <v>L</v>
      </c>
      <c r="BF42" s="134" t="s">
        <v>46</v>
      </c>
      <c r="BG42" s="138" t="str">
        <f>IF(OR(Configurator!$T$5="0",Configurator!$T$5="1"),"O",IF(OR(Configurator!$T$5="2",Configurator!$T$5="3",Configurator!$T$5="5"),"L","*"))</f>
        <v>L</v>
      </c>
      <c r="BH42" s="138" t="str">
        <f>IF(OR(Configurator!$T$5="0",Configurator!$T$5="1"),"O",IF(OR(Configurator!$T$5="2",Configurator!$T$5="3",Configurator!$T$5="5"),"L","*"))</f>
        <v>L</v>
      </c>
      <c r="BI42" s="134" t="s">
        <v>46</v>
      </c>
      <c r="BJ42" s="134" t="s">
        <v>46</v>
      </c>
      <c r="BK42" s="138" t="str">
        <f>IF(OR(Configurator!$T$5="0",Configurator!$T$5="1"),"O",IF(OR(Configurator!$T$5="2",Configurator!$T$5="3",Configurator!$T$5="5"),"L","*"))</f>
        <v>L</v>
      </c>
      <c r="BL42" s="138" t="str">
        <f>IF(OR(Configurator!$T$5="0",Configurator!$T$5="1",Configurator!$T$5="4"),"O",IF(OR(Configurator!$T$5="2",Configurator!$T$5="3",Configurator!$T$5="5"),"L","*"))</f>
        <v>L</v>
      </c>
      <c r="BM42" s="138" t="str">
        <f>IF(OR(Configurator!$T$5="0",Configurator!$T$5="1",Configurator!$T$5="2"),"O",IF(OR(Configurator!$T$5="3",Configurator!$T$5="5"),"L","*"))</f>
        <v>L</v>
      </c>
      <c r="BN42" s="138" t="str">
        <f>IF(OR(Configurator!$T$5="0",Configurator!$T$5="1",Configurator!$T$5="2"),"O",IF(OR(Configurator!$T$5="3",Configurator!$T$5="5"),"L","*"))</f>
        <v>L</v>
      </c>
      <c r="BO42" s="138" t="str">
        <f>IF(OR(Configurator!$T$5="0",Configurator!$T$5="1",Configurator!$T$5="4",Configurator!$T$5="6"),"O",IF(OR(Configurator!$T$5="2",Configurator!$T$5="3",Configurator!$T$5="5"),"L","*"))</f>
        <v>L</v>
      </c>
      <c r="BP42" s="134" t="s">
        <v>46</v>
      </c>
      <c r="BQ42" s="138" t="str">
        <f>IF(OR(Configurator!$T$5="0",Configurator!$T$5="1",Configurator!$T$5="4",Configurator!$T$5="6"),"O",IF(OR(Configurator!$T$5="2",Configurator!$T$5="3",Configurator!$T$5="5"),"L","*"))</f>
        <v>L</v>
      </c>
      <c r="BR42" s="138" t="str">
        <f>IF(OR(Configurator!$T$5="0",Configurator!$T$5="1",Configurator!$T$5="2"),"O",IF(OR(Configurator!$T$5="3",Configurator!$T$5="5"),"L","*"))</f>
        <v>L</v>
      </c>
      <c r="BS42" s="138" t="str">
        <f>IF(OR(Configurator!$T$5="0",Configurator!$T$5="1",Configurator!$T$5="4",Configurator!$T$5="6"),"O",IF(OR(Configurator!$T$5="2",Configurator!$T$5="3",Configurator!$T$5="5"),"L","*"))</f>
        <v>L</v>
      </c>
      <c r="BT42" s="138" t="str">
        <f>IF(OR(Configurator!$T$5="0",Configurator!$T$5="1",Configurator!$T$5="4",Configurator!$T$5="6"),"O",IF(OR(Configurator!$T$5="2",Configurator!$T$5="3",Configurator!$T$5="5"),"L","*"))</f>
        <v>L</v>
      </c>
      <c r="BU42" s="134" t="s">
        <v>46</v>
      </c>
      <c r="BV42" s="138" t="str">
        <f>IF(OR(Configurator!$T$5="0",Configurator!$T$5="1",Configurator!$T$5="4",Configurator!$T$5="6"),"O",IF(OR(Configurator!$T$5="2",Configurator!$T$5="3",Configurator!$T$5="5"),"L","*"))</f>
        <v>L</v>
      </c>
      <c r="BW42" s="138" t="str">
        <f>IF(OR(Configurator!$T$5="0",Configurator!$T$5="1",Configurator!$T$5="2"),"O",IF(OR(Configurator!$T$5="3",Configurator!$T$5="5"),"L","*"))</f>
        <v>L</v>
      </c>
      <c r="BX42" s="138" t="str">
        <f>IF(OR(Configurator!$T$5="0",Configurator!$T$5="1",Configurator!$T$5="4",Configurator!$T$5="6",Configurator!$T$5="2"),"O",IF(OR(Configurator!$T$5="3",Configurator!$T$5="5"),"L","*"))</f>
        <v>L</v>
      </c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29" t="s">
        <v>1073</v>
      </c>
      <c r="CJ42" s="129" t="s">
        <v>1073</v>
      </c>
      <c r="CK42" s="129" t="s">
        <v>1073</v>
      </c>
      <c r="CL42" s="129" t="s">
        <v>1073</v>
      </c>
      <c r="CM42" s="129" t="s">
        <v>1073</v>
      </c>
      <c r="CN42" s="129" t="s">
        <v>1073</v>
      </c>
      <c r="CO42" s="129" t="s">
        <v>1073</v>
      </c>
      <c r="CP42" s="129" t="s">
        <v>1073</v>
      </c>
      <c r="CQ42" s="129" t="s">
        <v>1073</v>
      </c>
      <c r="CR42" s="129" t="s">
        <v>1073</v>
      </c>
      <c r="CS42" s="129" t="s">
        <v>1073</v>
      </c>
      <c r="CT42" s="129" t="s">
        <v>1073</v>
      </c>
      <c r="CU42" s="129" t="s">
        <v>1073</v>
      </c>
      <c r="CV42" s="129" t="s">
        <v>1073</v>
      </c>
      <c r="CW42" s="129" t="s">
        <v>1073</v>
      </c>
      <c r="CX42" s="129" t="s">
        <v>1073</v>
      </c>
      <c r="CY42" s="129" t="s">
        <v>1073</v>
      </c>
      <c r="CZ42" s="129" t="s">
        <v>1073</v>
      </c>
      <c r="DA42" s="129" t="s">
        <v>1073</v>
      </c>
    </row>
    <row r="43" spans="1:105" ht="14.25">
      <c r="A43" s="133" t="s">
        <v>1073</v>
      </c>
      <c r="B43" s="134">
        <v>-401</v>
      </c>
      <c r="C43" s="134">
        <v>-403</v>
      </c>
      <c r="D43" s="134">
        <v>-403</v>
      </c>
      <c r="E43" s="134">
        <v>-403</v>
      </c>
      <c r="F43" s="134">
        <v>-403</v>
      </c>
      <c r="G43" s="134">
        <v>-403</v>
      </c>
      <c r="H43" s="134">
        <v>-403</v>
      </c>
      <c r="I43" s="134">
        <v>-403</v>
      </c>
      <c r="J43" s="134">
        <v>-403</v>
      </c>
      <c r="K43" s="134">
        <v>-403</v>
      </c>
      <c r="L43" s="134">
        <v>-403</v>
      </c>
      <c r="M43" s="134">
        <v>-403</v>
      </c>
      <c r="N43" s="134">
        <v>-403</v>
      </c>
      <c r="O43" s="134">
        <v>-403</v>
      </c>
      <c r="P43" s="134">
        <v>-403</v>
      </c>
      <c r="Q43" s="134">
        <v>-403</v>
      </c>
      <c r="R43" s="134">
        <v>-403</v>
      </c>
      <c r="S43" s="134">
        <v>-403</v>
      </c>
      <c r="T43" s="134">
        <v>-403</v>
      </c>
      <c r="U43" s="134">
        <v>-403</v>
      </c>
      <c r="V43" s="134">
        <v>-403</v>
      </c>
      <c r="W43" s="138" t="str">
        <f>IF(V$37="-304","-406","-403")</f>
        <v>-403</v>
      </c>
      <c r="X43" s="138" t="str">
        <f>IF(X$37="-304","-406","-403")</f>
        <v>-403</v>
      </c>
      <c r="Y43" s="134">
        <v>-406</v>
      </c>
      <c r="Z43" s="138" t="str">
        <f aca="true" t="shared" si="14" ref="Z43:AF43">IF(Z$37="-304","-406","-403")</f>
        <v>-403</v>
      </c>
      <c r="AA43" s="138" t="str">
        <f t="shared" si="14"/>
        <v>-403</v>
      </c>
      <c r="AB43" s="138" t="str">
        <f t="shared" si="14"/>
        <v>-403</v>
      </c>
      <c r="AC43" s="138" t="str">
        <f t="shared" si="14"/>
        <v>-403</v>
      </c>
      <c r="AD43" s="138" t="str">
        <f t="shared" si="14"/>
        <v>-403</v>
      </c>
      <c r="AE43" s="138" t="str">
        <f t="shared" si="14"/>
        <v>-403</v>
      </c>
      <c r="AF43" s="138" t="str">
        <f t="shared" si="14"/>
        <v>-403</v>
      </c>
      <c r="AG43" s="153" t="s">
        <v>992</v>
      </c>
      <c r="AH43" s="138" t="str">
        <f aca="true" t="shared" si="15" ref="AH43:AM43">IF(AH$37="-304","-406","-403")</f>
        <v>-403</v>
      </c>
      <c r="AI43" s="138" t="str">
        <f t="shared" si="15"/>
        <v>-403</v>
      </c>
      <c r="AJ43" s="138" t="str">
        <f t="shared" si="15"/>
        <v>-403</v>
      </c>
      <c r="AK43" s="138" t="str">
        <f t="shared" si="15"/>
        <v>-403</v>
      </c>
      <c r="AL43" s="138" t="str">
        <f t="shared" si="15"/>
        <v>-406</v>
      </c>
      <c r="AM43" s="138" t="str">
        <f t="shared" si="15"/>
        <v>-406</v>
      </c>
      <c r="AN43" s="138" t="str">
        <f>IF(AN$37="-304","-407","-403")</f>
        <v>-407</v>
      </c>
      <c r="AO43" s="138" t="str">
        <f>IF(AO$37="-304","-407","-403")</f>
        <v>-407</v>
      </c>
      <c r="AP43" s="138" t="str">
        <f>IF(AP$37="-306","-410","-407")</f>
        <v>-407</v>
      </c>
      <c r="AQ43" s="138" t="str">
        <f>IF(AQ$37="-306","-410","-407")</f>
        <v>-407</v>
      </c>
      <c r="AR43" s="138" t="str">
        <f>IF(AR$37="-306","-410",IF(AR$37="-304","-407","-413"))</f>
        <v>-407</v>
      </c>
      <c r="AS43" s="138" t="str">
        <f>IF(AS$37="-306","-410","-407")</f>
        <v>-407</v>
      </c>
      <c r="AT43" s="138" t="str">
        <f aca="true" t="shared" si="16" ref="AT43:BA43">IF(AT$37="-304","-407","-413")</f>
        <v>-407</v>
      </c>
      <c r="AU43" s="138" t="str">
        <f t="shared" si="16"/>
        <v>-407</v>
      </c>
      <c r="AV43" s="138" t="str">
        <f t="shared" si="16"/>
        <v>-407</v>
      </c>
      <c r="AW43" s="138" t="str">
        <f t="shared" si="16"/>
        <v>-407</v>
      </c>
      <c r="AX43" s="138" t="str">
        <f t="shared" si="16"/>
        <v>-407</v>
      </c>
      <c r="AY43" s="138" t="str">
        <f t="shared" si="16"/>
        <v>-407</v>
      </c>
      <c r="AZ43" s="138" t="str">
        <f t="shared" si="16"/>
        <v>-407</v>
      </c>
      <c r="BA43" s="138" t="str">
        <f t="shared" si="16"/>
        <v>-407</v>
      </c>
      <c r="BB43" s="136" t="s">
        <v>687</v>
      </c>
      <c r="BC43" s="136" t="s">
        <v>687</v>
      </c>
      <c r="BD43" s="136" t="s">
        <v>687</v>
      </c>
      <c r="BE43" s="138" t="str">
        <f>IF(OR(Configurator!$T$5="0",Configurator!$T$5="1"),"-416",IF(OR(Configurator!$T$5="2",Configurator!$T$5="3",Configurator!$T$5="5"),"-413","-4**"))</f>
        <v>-413</v>
      </c>
      <c r="BF43" s="136" t="s">
        <v>687</v>
      </c>
      <c r="BG43" s="138" t="str">
        <f>IF(OR(Configurator!$T$5="0",Configurator!$T$5="1"),"-416",IF(OR(Configurator!$T$5="2",Configurator!$T$5="3",Configurator!$T$5="5"),"-413","-4**"))</f>
        <v>-413</v>
      </c>
      <c r="BH43" s="138" t="str">
        <f>IF(OR(Configurator!$T$5="0",Configurator!$T$5="1"),"-416",IF(OR(Configurator!$T$5="2",Configurator!$T$5="3",Configurator!$T$5="5"),"-413","-4**"))</f>
        <v>-413</v>
      </c>
      <c r="BI43" s="136" t="s">
        <v>687</v>
      </c>
      <c r="BJ43" s="136" t="s">
        <v>687</v>
      </c>
      <c r="BK43" s="138" t="str">
        <f>IF(OR(Configurator!$T$5="0",Configurator!$T$5="1"),"-416",IF(OR(Configurator!$T$5="2",Configurator!$T$5="3",Configurator!$T$5="5"),"-413","-4**"))</f>
        <v>-413</v>
      </c>
      <c r="BL43" s="138" t="str">
        <f>IF(OR(Configurator!$T$5="0",Configurator!$T$5="1",Configurator!$T$5="4"),"-416",IF(OR(Configurator!$T$5="2",Configurator!$T$5="3",Configurator!$T$5="5"),"-413","-4**"))</f>
        <v>-413</v>
      </c>
      <c r="BM43" s="138" t="str">
        <f>IF(OR(Configurator!$T$5="0",Configurator!$T$5="1",Configurator!$T$5="2"),"-416",IF(OR(Configurator!$T$5="3",Configurator!$T$5="5"),"-413","-4**"))</f>
        <v>-413</v>
      </c>
      <c r="BN43" s="138" t="str">
        <f>IF(OR(Configurator!$T$5="0",Configurator!$T$5="1",Configurator!$T$5="2"),"-416",IF(OR(Configurator!$T$5="3",Configurator!$T$5="5"),"-413","-4**"))</f>
        <v>-413</v>
      </c>
      <c r="BO43" s="138" t="str">
        <f>IF(OR(Configurator!$T$5="0",Configurator!$T$5="1",Configurator!$T$5="4",Configurator!$T$5="6"),"-416",IF(OR(Configurator!$T$5="2",Configurator!$T$5="3",Configurator!$T$5="5"),"-413","-4**"))</f>
        <v>-413</v>
      </c>
      <c r="BP43" s="136" t="s">
        <v>687</v>
      </c>
      <c r="BQ43" s="138" t="str">
        <f>IF(OR(Configurator!$T$5="0",Configurator!$T$5="1",Configurator!$T$5="4",Configurator!$T$5="6"),"-416",IF(OR(Configurator!$T$5="2",Configurator!$T$5="3",Configurator!$T$5="5"),"-413","-4**"))</f>
        <v>-413</v>
      </c>
      <c r="BR43" s="138" t="str">
        <f>IF(OR(Configurator!$T$5="0",Configurator!$T$5="1",Configurator!$T$5="2"),"-416",IF(OR(Configurator!$T$5="3",Configurator!$T$5="5"),"-413","-4**"))</f>
        <v>-413</v>
      </c>
      <c r="BS43" s="138" t="str">
        <f>IF(OR(Configurator!$T$5="0",Configurator!$T$5="1",Configurator!$T$5="4",Configurator!$T$5="6"),"-416",IF(OR(Configurator!$T$5="2",Configurator!$T$5="3",Configurator!$T$5="5"),"-413","-4**"))</f>
        <v>-413</v>
      </c>
      <c r="BT43" s="138" t="str">
        <f>IF(OR(Configurator!$T$5="0",Configurator!$T$5="1",Configurator!$T$5="4",Configurator!$T$5="6"),"-416",IF(OR(Configurator!$T$5="2",Configurator!$T$5="3",Configurator!$T$5="5"),"-413","-4**"))</f>
        <v>-413</v>
      </c>
      <c r="BU43" s="136" t="s">
        <v>687</v>
      </c>
      <c r="BV43" s="138" t="str">
        <f>IF(OR(Configurator!$T$5="0",Configurator!$T$5="1",Configurator!$T$5="4",Configurator!$T$5="6"),"-416",IF(OR(Configurator!$T$5="2",Configurator!$T$5="3",Configurator!$T$5="5"),"-413","-4**"))</f>
        <v>-413</v>
      </c>
      <c r="BW43" s="138" t="str">
        <f>IF(OR(Configurator!$T$5="0",Configurator!$T$5="1",Configurator!$T$5="2"),"-416",IF(OR(Configurator!$T$5="3",Configurator!$T$5="5"),"-413","-4**"))</f>
        <v>-413</v>
      </c>
      <c r="BX43" s="138" t="str">
        <f>IF(OR(Configurator!$T$5="0",Configurator!$T$5="1",Configurator!$T$5="4",Configurator!$T$5="6",Configurator!$T$5="2"),"-416",IF(OR(Configurator!$T$5="3",Configurator!$T$5="5"),"-413","-4**"))</f>
        <v>-413</v>
      </c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29" t="s">
        <v>1073</v>
      </c>
      <c r="CJ43" s="129" t="s">
        <v>1073</v>
      </c>
      <c r="CK43" s="129" t="s">
        <v>1073</v>
      </c>
      <c r="CL43" s="129" t="s">
        <v>1073</v>
      </c>
      <c r="CM43" s="129" t="s">
        <v>1073</v>
      </c>
      <c r="CN43" s="129" t="s">
        <v>1073</v>
      </c>
      <c r="CO43" s="129" t="s">
        <v>1073</v>
      </c>
      <c r="CP43" s="129" t="s">
        <v>1073</v>
      </c>
      <c r="CQ43" s="129" t="s">
        <v>1073</v>
      </c>
      <c r="CR43" s="129" t="s">
        <v>1073</v>
      </c>
      <c r="CS43" s="129" t="s">
        <v>1073</v>
      </c>
      <c r="CT43" s="129" t="s">
        <v>1073</v>
      </c>
      <c r="CU43" s="129" t="s">
        <v>1073</v>
      </c>
      <c r="CV43" s="129" t="s">
        <v>1073</v>
      </c>
      <c r="CW43" s="129" t="s">
        <v>1073</v>
      </c>
      <c r="CX43" s="129" t="s">
        <v>1073</v>
      </c>
      <c r="CY43" s="129" t="s">
        <v>1073</v>
      </c>
      <c r="CZ43" s="129" t="s">
        <v>1073</v>
      </c>
      <c r="DA43" s="129" t="s">
        <v>1073</v>
      </c>
    </row>
    <row r="44" spans="1:105" ht="14.25">
      <c r="A44" s="133" t="s">
        <v>1073</v>
      </c>
      <c r="B44" s="134">
        <v>1</v>
      </c>
      <c r="C44" s="134">
        <v>3</v>
      </c>
      <c r="D44" s="134">
        <v>3</v>
      </c>
      <c r="E44" s="134">
        <v>3</v>
      </c>
      <c r="F44" s="134">
        <v>3</v>
      </c>
      <c r="G44" s="134">
        <v>3</v>
      </c>
      <c r="H44" s="134">
        <v>3</v>
      </c>
      <c r="I44" s="134">
        <v>3</v>
      </c>
      <c r="J44" s="134" t="s">
        <v>1094</v>
      </c>
      <c r="K44" s="134" t="s">
        <v>1094</v>
      </c>
      <c r="L44" s="134" t="s">
        <v>1094</v>
      </c>
      <c r="M44" s="134" t="s">
        <v>1094</v>
      </c>
      <c r="N44" s="134" t="s">
        <v>1094</v>
      </c>
      <c r="O44" s="134" t="s">
        <v>1094</v>
      </c>
      <c r="P44" s="134" t="s">
        <v>1094</v>
      </c>
      <c r="Q44" s="134" t="s">
        <v>1094</v>
      </c>
      <c r="R44" s="134" t="s">
        <v>1094</v>
      </c>
      <c r="S44" s="134" t="s">
        <v>1094</v>
      </c>
      <c r="T44" s="134" t="s">
        <v>1094</v>
      </c>
      <c r="U44" s="134" t="s">
        <v>1094</v>
      </c>
      <c r="V44" s="134" t="s">
        <v>1094</v>
      </c>
      <c r="W44" s="138" t="str">
        <f>IF(V$37="-304","F","C")</f>
        <v>C</v>
      </c>
      <c r="X44" s="138" t="str">
        <f>IF(X$37="-304","F","C")</f>
        <v>C</v>
      </c>
      <c r="Y44" s="134" t="s">
        <v>16</v>
      </c>
      <c r="Z44" s="138" t="str">
        <f aca="true" t="shared" si="17" ref="Z44:AF44">IF(Z$37="-304","F","C")</f>
        <v>C</v>
      </c>
      <c r="AA44" s="138" t="str">
        <f t="shared" si="17"/>
        <v>C</v>
      </c>
      <c r="AB44" s="138" t="str">
        <f t="shared" si="17"/>
        <v>C</v>
      </c>
      <c r="AC44" s="138" t="str">
        <f t="shared" si="17"/>
        <v>C</v>
      </c>
      <c r="AD44" s="138" t="str">
        <f t="shared" si="17"/>
        <v>C</v>
      </c>
      <c r="AE44" s="138" t="str">
        <f t="shared" si="17"/>
        <v>C</v>
      </c>
      <c r="AF44" s="138" t="str">
        <f t="shared" si="17"/>
        <v>C</v>
      </c>
      <c r="AG44" s="217" t="s">
        <v>39</v>
      </c>
      <c r="AH44" s="138" t="str">
        <f aca="true" t="shared" si="18" ref="AH44:AM44">IF(AH$37="-304","F","C")</f>
        <v>C</v>
      </c>
      <c r="AI44" s="138" t="str">
        <f t="shared" si="18"/>
        <v>C</v>
      </c>
      <c r="AJ44" s="138" t="str">
        <f t="shared" si="18"/>
        <v>C</v>
      </c>
      <c r="AK44" s="138" t="str">
        <f t="shared" si="18"/>
        <v>C</v>
      </c>
      <c r="AL44" s="138" t="str">
        <f t="shared" si="18"/>
        <v>F</v>
      </c>
      <c r="AM44" s="138" t="str">
        <f t="shared" si="18"/>
        <v>F</v>
      </c>
      <c r="AN44" s="138" t="str">
        <f>IF(AN$37="-304","G","C")</f>
        <v>G</v>
      </c>
      <c r="AO44" s="138" t="str">
        <f>IF(AO$37="-304","G","C")</f>
        <v>G</v>
      </c>
      <c r="AP44" s="138" t="str">
        <f>IF(AP$37="-306","J","G")</f>
        <v>G</v>
      </c>
      <c r="AQ44" s="138" t="str">
        <f>IF(AQ$37="-306","J","G")</f>
        <v>G</v>
      </c>
      <c r="AR44" s="138" t="str">
        <f>IF(AR$37="-306","J",IF(AR$37="-304","G","M"))</f>
        <v>G</v>
      </c>
      <c r="AS44" s="138" t="str">
        <f>IF(AS$37="-306","J","G")</f>
        <v>G</v>
      </c>
      <c r="AT44" s="138" t="str">
        <f aca="true" t="shared" si="19" ref="AT44:BA44">IF(AT$37="-304","G","M")</f>
        <v>G</v>
      </c>
      <c r="AU44" s="138" t="str">
        <f t="shared" si="19"/>
        <v>G</v>
      </c>
      <c r="AV44" s="138" t="str">
        <f t="shared" si="19"/>
        <v>G</v>
      </c>
      <c r="AW44" s="138" t="str">
        <f t="shared" si="19"/>
        <v>G</v>
      </c>
      <c r="AX44" s="138" t="str">
        <f t="shared" si="19"/>
        <v>G</v>
      </c>
      <c r="AY44" s="138" t="str">
        <f t="shared" si="19"/>
        <v>G</v>
      </c>
      <c r="AZ44" s="138" t="str">
        <f t="shared" si="19"/>
        <v>G</v>
      </c>
      <c r="BA44" s="138" t="str">
        <f t="shared" si="19"/>
        <v>G</v>
      </c>
      <c r="BB44" s="134" t="s">
        <v>48</v>
      </c>
      <c r="BC44" s="134" t="s">
        <v>48</v>
      </c>
      <c r="BD44" s="134" t="s">
        <v>48</v>
      </c>
      <c r="BE44" s="138" t="str">
        <f>IF(OR(Configurator!$T$5="0",Configurator!$T$5="1"),"P",IF(OR(Configurator!$T$5="2",Configurator!$T$5="3",Configurator!$T$5="5"),"M","*"))</f>
        <v>M</v>
      </c>
      <c r="BF44" s="134" t="s">
        <v>48</v>
      </c>
      <c r="BG44" s="138" t="str">
        <f>IF(OR(Configurator!$T$5="0",Configurator!$T$5="1"),"P",IF(OR(Configurator!$T$5="2",Configurator!$T$5="3",Configurator!$T$5="5"),"M","*"))</f>
        <v>M</v>
      </c>
      <c r="BH44" s="138" t="str">
        <f>IF(OR(Configurator!$T$5="0",Configurator!$T$5="1"),"P",IF(OR(Configurator!$T$5="2",Configurator!$T$5="3",Configurator!$T$5="5"),"M","*"))</f>
        <v>M</v>
      </c>
      <c r="BI44" s="134" t="s">
        <v>48</v>
      </c>
      <c r="BJ44" s="134" t="s">
        <v>48</v>
      </c>
      <c r="BK44" s="138" t="str">
        <f>IF(OR(Configurator!$T$5="0",Configurator!$T$5="1"),"P",IF(OR(Configurator!$T$5="2",Configurator!$T$5="3",Configurator!$T$5="5"),"M","*"))</f>
        <v>M</v>
      </c>
      <c r="BL44" s="138" t="str">
        <f>IF(OR(Configurator!$T$5="0",Configurator!$T$5="1",Configurator!$T$5="4"),"P",IF(OR(Configurator!$T$5="2",Configurator!$T$5="3",Configurator!$T$5="5"),"M","*"))</f>
        <v>M</v>
      </c>
      <c r="BM44" s="138" t="str">
        <f>IF(OR(Configurator!$T$5="0",Configurator!$T$5="1",Configurator!$T$5="2"),"P",IF(OR(Configurator!$T$5="3",Configurator!$T$5="5"),"M","*"))</f>
        <v>M</v>
      </c>
      <c r="BN44" s="138" t="str">
        <f>IF(OR(Configurator!$T$5="0",Configurator!$T$5="1",Configurator!$T$5="2"),"P",IF(OR(Configurator!$T$5="3",Configurator!$T$5="5"),"M","*"))</f>
        <v>M</v>
      </c>
      <c r="BO44" s="138" t="str">
        <f>IF(OR(Configurator!$T$5="0",Configurator!$T$5="1",Configurator!$T$5="4",Configurator!$T$5="6"),"P",IF(OR(Configurator!$T$5="2",Configurator!$T$5="3",Configurator!$T$5="5"),"M","*"))</f>
        <v>M</v>
      </c>
      <c r="BP44" s="134" t="s">
        <v>48</v>
      </c>
      <c r="BQ44" s="138" t="str">
        <f>IF(OR(Configurator!$T$5="0",Configurator!$T$5="1",Configurator!$T$5="4",Configurator!$T$5="6"),"P",IF(OR(Configurator!$T$5="2",Configurator!$T$5="3",Configurator!$T$5="5"),"M","*"))</f>
        <v>M</v>
      </c>
      <c r="BR44" s="138" t="str">
        <f>IF(OR(Configurator!$T$5="0",Configurator!$T$5="1",Configurator!$T$5="2"),"P",IF(OR(Configurator!$T$5="3",Configurator!$T$5="5"),"M","*"))</f>
        <v>M</v>
      </c>
      <c r="BS44" s="138" t="str">
        <f>IF(OR(Configurator!$T$5="0",Configurator!$T$5="1",Configurator!$T$5="4",Configurator!$T$5="6"),"P",IF(OR(Configurator!$T$5="2",Configurator!$T$5="3",Configurator!$T$5="5"),"M","*"))</f>
        <v>M</v>
      </c>
      <c r="BT44" s="138" t="str">
        <f>IF(OR(Configurator!$T$5="0",Configurator!$T$5="1",Configurator!$T$5="4",Configurator!$T$5="6"),"P",IF(OR(Configurator!$T$5="2",Configurator!$T$5="3",Configurator!$T$5="5"),"M","*"))</f>
        <v>M</v>
      </c>
      <c r="BU44" s="134" t="s">
        <v>48</v>
      </c>
      <c r="BV44" s="138" t="str">
        <f>IF(OR(Configurator!$T$5="0",Configurator!$T$5="1",Configurator!$T$5="4",Configurator!$T$5="6"),"P",IF(OR(Configurator!$T$5="2",Configurator!$T$5="3",Configurator!$T$5="5"),"M","*"))</f>
        <v>M</v>
      </c>
      <c r="BW44" s="138" t="str">
        <f>IF(OR(Configurator!$T$5="0",Configurator!$T$5="1",Configurator!$T$5="2"),"P",IF(OR(Configurator!$T$5="3",Configurator!$T$5="5"),"M","*"))</f>
        <v>M</v>
      </c>
      <c r="BX44" s="138" t="str">
        <f>IF(OR(Configurator!$T$5="0",Configurator!$T$5="1",Configurator!$T$5="4",Configurator!$T$5="6",Configurator!$T$5="2"),"P",IF(OR(Configurator!$T$5="3",Configurator!$T$5="5"),"M","*"))</f>
        <v>M</v>
      </c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29" t="s">
        <v>1073</v>
      </c>
      <c r="CJ44" s="129" t="s">
        <v>1073</v>
      </c>
      <c r="CK44" s="129" t="s">
        <v>1073</v>
      </c>
      <c r="CL44" s="129" t="s">
        <v>1073</v>
      </c>
      <c r="CM44" s="129" t="s">
        <v>1073</v>
      </c>
      <c r="CN44" s="129" t="s">
        <v>1073</v>
      </c>
      <c r="CO44" s="129" t="s">
        <v>1073</v>
      </c>
      <c r="CP44" s="129" t="s">
        <v>1073</v>
      </c>
      <c r="CQ44" s="129" t="s">
        <v>1073</v>
      </c>
      <c r="CR44" s="129" t="s">
        <v>1073</v>
      </c>
      <c r="CS44" s="129" t="s">
        <v>1073</v>
      </c>
      <c r="CT44" s="129" t="s">
        <v>1073</v>
      </c>
      <c r="CU44" s="129" t="s">
        <v>1073</v>
      </c>
      <c r="CV44" s="129" t="s">
        <v>1073</v>
      </c>
      <c r="CW44" s="129" t="s">
        <v>1073</v>
      </c>
      <c r="CX44" s="129" t="s">
        <v>1073</v>
      </c>
      <c r="CY44" s="129" t="s">
        <v>1073</v>
      </c>
      <c r="CZ44" s="129" t="s">
        <v>1073</v>
      </c>
      <c r="DA44" s="129" t="s">
        <v>1073</v>
      </c>
    </row>
    <row r="45" spans="1:105" ht="15">
      <c r="A45" s="135" t="s">
        <v>1074</v>
      </c>
      <c r="B45" s="136" t="s">
        <v>1073</v>
      </c>
      <c r="C45" s="136" t="s">
        <v>1073</v>
      </c>
      <c r="D45" s="136" t="s">
        <v>1073</v>
      </c>
      <c r="E45" s="136" t="s">
        <v>1073</v>
      </c>
      <c r="F45" s="136" t="s">
        <v>1073</v>
      </c>
      <c r="G45" s="136" t="s">
        <v>1073</v>
      </c>
      <c r="H45" s="136" t="s">
        <v>1073</v>
      </c>
      <c r="I45" s="136" t="s">
        <v>1073</v>
      </c>
      <c r="J45" s="136" t="s">
        <v>1073</v>
      </c>
      <c r="K45" s="136" t="s">
        <v>1073</v>
      </c>
      <c r="L45" s="136" t="s">
        <v>1073</v>
      </c>
      <c r="M45" s="136" t="s">
        <v>1073</v>
      </c>
      <c r="N45" s="136" t="s">
        <v>1073</v>
      </c>
      <c r="O45" s="136" t="s">
        <v>1073</v>
      </c>
      <c r="P45" s="136" t="s">
        <v>1073</v>
      </c>
      <c r="Q45" s="136" t="s">
        <v>1073</v>
      </c>
      <c r="R45" s="136" t="s">
        <v>1073</v>
      </c>
      <c r="S45" s="136" t="s">
        <v>1073</v>
      </c>
      <c r="T45" s="136" t="s">
        <v>1073</v>
      </c>
      <c r="U45" s="136" t="s">
        <v>1073</v>
      </c>
      <c r="V45" s="136" t="s">
        <v>1073</v>
      </c>
      <c r="W45" s="136" t="s">
        <v>1073</v>
      </c>
      <c r="X45" s="136" t="s">
        <v>1073</v>
      </c>
      <c r="Y45" s="136" t="s">
        <v>1073</v>
      </c>
      <c r="Z45" s="136" t="s">
        <v>1073</v>
      </c>
      <c r="AA45" s="136" t="s">
        <v>1073</v>
      </c>
      <c r="AB45" s="136" t="s">
        <v>1073</v>
      </c>
      <c r="AC45" s="136" t="s">
        <v>1073</v>
      </c>
      <c r="AD45" s="136" t="s">
        <v>1073</v>
      </c>
      <c r="AE45" s="136" t="s">
        <v>1073</v>
      </c>
      <c r="AF45" s="136" t="s">
        <v>1073</v>
      </c>
      <c r="AG45" s="136" t="s">
        <v>1073</v>
      </c>
      <c r="AH45" s="136" t="s">
        <v>1073</v>
      </c>
      <c r="AI45" s="136" t="s">
        <v>1073</v>
      </c>
      <c r="AJ45" s="136" t="s">
        <v>1073</v>
      </c>
      <c r="AK45" s="136" t="s">
        <v>1073</v>
      </c>
      <c r="AL45" s="136" t="s">
        <v>1073</v>
      </c>
      <c r="AM45" s="136" t="s">
        <v>1073</v>
      </c>
      <c r="AN45" s="136" t="s">
        <v>1073</v>
      </c>
      <c r="AO45" s="136" t="s">
        <v>1073</v>
      </c>
      <c r="AP45" s="136" t="s">
        <v>1073</v>
      </c>
      <c r="AQ45" s="136" t="s">
        <v>1073</v>
      </c>
      <c r="AR45" s="136" t="s">
        <v>1073</v>
      </c>
      <c r="AS45" s="136" t="s">
        <v>1073</v>
      </c>
      <c r="AT45" s="136" t="s">
        <v>1073</v>
      </c>
      <c r="AU45" s="136" t="s">
        <v>1073</v>
      </c>
      <c r="AV45" s="136" t="s">
        <v>1073</v>
      </c>
      <c r="AW45" s="136" t="s">
        <v>1073</v>
      </c>
      <c r="AX45" s="136" t="s">
        <v>1073</v>
      </c>
      <c r="AY45" s="136" t="s">
        <v>1073</v>
      </c>
      <c r="AZ45" s="136" t="s">
        <v>1073</v>
      </c>
      <c r="BA45" s="136" t="s">
        <v>1073</v>
      </c>
      <c r="BB45" s="136" t="s">
        <v>1073</v>
      </c>
      <c r="BC45" s="136" t="s">
        <v>1073</v>
      </c>
      <c r="BD45" s="136" t="s">
        <v>1073</v>
      </c>
      <c r="BE45" s="136" t="s">
        <v>1073</v>
      </c>
      <c r="BF45" s="136" t="s">
        <v>1073</v>
      </c>
      <c r="BG45" s="136" t="s">
        <v>1073</v>
      </c>
      <c r="BH45" s="136" t="s">
        <v>1073</v>
      </c>
      <c r="BI45" s="136" t="s">
        <v>1073</v>
      </c>
      <c r="BJ45" s="136" t="s">
        <v>1073</v>
      </c>
      <c r="BK45" s="136" t="s">
        <v>1073</v>
      </c>
      <c r="BL45" s="136" t="s">
        <v>1073</v>
      </c>
      <c r="BM45" s="136" t="s">
        <v>1073</v>
      </c>
      <c r="BN45" s="136" t="s">
        <v>1073</v>
      </c>
      <c r="BO45" s="136" t="s">
        <v>1073</v>
      </c>
      <c r="BP45" s="136" t="s">
        <v>1073</v>
      </c>
      <c r="BQ45" s="136" t="s">
        <v>1073</v>
      </c>
      <c r="BR45" s="136" t="s">
        <v>1073</v>
      </c>
      <c r="BS45" s="136" t="s">
        <v>1073</v>
      </c>
      <c r="BT45" s="136" t="s">
        <v>1073</v>
      </c>
      <c r="BU45" s="136" t="s">
        <v>1073</v>
      </c>
      <c r="BV45" s="136" t="s">
        <v>1073</v>
      </c>
      <c r="BW45" s="136" t="s">
        <v>1073</v>
      </c>
      <c r="BX45" s="136" t="s">
        <v>1073</v>
      </c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129" t="s">
        <v>1073</v>
      </c>
      <c r="CJ45" s="129" t="s">
        <v>1073</v>
      </c>
      <c r="CK45" s="129" t="s">
        <v>1073</v>
      </c>
      <c r="CL45" s="129" t="s">
        <v>1073</v>
      </c>
      <c r="CM45" s="129" t="s">
        <v>1073</v>
      </c>
      <c r="CN45" s="129" t="s">
        <v>1073</v>
      </c>
      <c r="CO45" s="129" t="s">
        <v>1073</v>
      </c>
      <c r="CP45" s="129" t="s">
        <v>1073</v>
      </c>
      <c r="CQ45" s="129" t="s">
        <v>1073</v>
      </c>
      <c r="CR45" s="129" t="s">
        <v>1073</v>
      </c>
      <c r="CS45" s="129" t="s">
        <v>1073</v>
      </c>
      <c r="CT45" s="129" t="s">
        <v>1073</v>
      </c>
      <c r="CU45" s="129" t="s">
        <v>1073</v>
      </c>
      <c r="CV45" s="129" t="s">
        <v>1073</v>
      </c>
      <c r="CW45" s="129" t="s">
        <v>1073</v>
      </c>
      <c r="CX45" s="129" t="s">
        <v>1073</v>
      </c>
      <c r="CY45" s="129" t="s">
        <v>1073</v>
      </c>
      <c r="CZ45" s="129" t="s">
        <v>1073</v>
      </c>
      <c r="DA45" s="129" t="s">
        <v>1073</v>
      </c>
    </row>
    <row r="46" spans="1:105" ht="15">
      <c r="A46" s="137" t="s">
        <v>1073</v>
      </c>
      <c r="B46" s="134" t="s">
        <v>1085</v>
      </c>
      <c r="C46" s="134" t="s">
        <v>1085</v>
      </c>
      <c r="D46" s="134" t="s">
        <v>1085</v>
      </c>
      <c r="E46" s="134" t="s">
        <v>1085</v>
      </c>
      <c r="F46" s="134" t="s">
        <v>1085</v>
      </c>
      <c r="G46" s="134" t="s">
        <v>1085</v>
      </c>
      <c r="H46" s="134" t="s">
        <v>1085</v>
      </c>
      <c r="I46" s="134" t="s">
        <v>1085</v>
      </c>
      <c r="J46" s="134" t="s">
        <v>1085</v>
      </c>
      <c r="K46" s="134" t="s">
        <v>1085</v>
      </c>
      <c r="L46" s="134" t="s">
        <v>1085</v>
      </c>
      <c r="M46" s="134" t="s">
        <v>1085</v>
      </c>
      <c r="N46" s="134" t="s">
        <v>1085</v>
      </c>
      <c r="O46" s="134" t="s">
        <v>1085</v>
      </c>
      <c r="P46" s="134" t="s">
        <v>1085</v>
      </c>
      <c r="Q46" s="134" t="s">
        <v>1085</v>
      </c>
      <c r="R46" s="134" t="s">
        <v>1085</v>
      </c>
      <c r="S46" s="134" t="s">
        <v>1085</v>
      </c>
      <c r="T46" s="134" t="s">
        <v>1085</v>
      </c>
      <c r="U46" s="134" t="s">
        <v>1085</v>
      </c>
      <c r="V46" s="134" t="s">
        <v>1085</v>
      </c>
      <c r="W46" s="134" t="s">
        <v>1085</v>
      </c>
      <c r="X46" s="134" t="s">
        <v>1085</v>
      </c>
      <c r="Y46" s="134" t="s">
        <v>1085</v>
      </c>
      <c r="Z46" s="134" t="s">
        <v>1085</v>
      </c>
      <c r="AA46" s="134" t="s">
        <v>1085</v>
      </c>
      <c r="AB46" s="134" t="s">
        <v>1085</v>
      </c>
      <c r="AC46" s="134" t="s">
        <v>1085</v>
      </c>
      <c r="AD46" s="134" t="s">
        <v>1085</v>
      </c>
      <c r="AE46" s="134" t="s">
        <v>1085</v>
      </c>
      <c r="AF46" s="134" t="s">
        <v>1085</v>
      </c>
      <c r="AG46" s="134" t="s">
        <v>1085</v>
      </c>
      <c r="AH46" s="134" t="s">
        <v>1085</v>
      </c>
      <c r="AI46" s="134" t="s">
        <v>1085</v>
      </c>
      <c r="AJ46" s="134" t="s">
        <v>1085</v>
      </c>
      <c r="AK46" s="134" t="s">
        <v>1085</v>
      </c>
      <c r="AL46" s="134" t="s">
        <v>1085</v>
      </c>
      <c r="AM46" s="134" t="s">
        <v>1085</v>
      </c>
      <c r="AN46" s="134" t="s">
        <v>1085</v>
      </c>
      <c r="AO46" s="134" t="s">
        <v>1085</v>
      </c>
      <c r="AP46" s="134" t="s">
        <v>1085</v>
      </c>
      <c r="AQ46" s="134" t="s">
        <v>1085</v>
      </c>
      <c r="AR46" s="134" t="s">
        <v>1085</v>
      </c>
      <c r="AS46" s="134" t="s">
        <v>1085</v>
      </c>
      <c r="AT46" s="134" t="s">
        <v>1085</v>
      </c>
      <c r="AU46" s="134" t="s">
        <v>1085</v>
      </c>
      <c r="AV46" s="134" t="s">
        <v>1085</v>
      </c>
      <c r="AW46" s="134" t="s">
        <v>1085</v>
      </c>
      <c r="AX46" s="134" t="s">
        <v>1085</v>
      </c>
      <c r="AY46" s="134" t="s">
        <v>1085</v>
      </c>
      <c r="AZ46" s="134" t="s">
        <v>1085</v>
      </c>
      <c r="BA46" s="134" t="s">
        <v>1085</v>
      </c>
      <c r="BB46" s="134" t="s">
        <v>1085</v>
      </c>
      <c r="BC46" s="134" t="s">
        <v>1085</v>
      </c>
      <c r="BD46" s="134" t="s">
        <v>1085</v>
      </c>
      <c r="BE46" s="134" t="s">
        <v>1085</v>
      </c>
      <c r="BF46" s="134" t="s">
        <v>1085</v>
      </c>
      <c r="BG46" s="134" t="s">
        <v>1085</v>
      </c>
      <c r="BH46" s="134" t="s">
        <v>1085</v>
      </c>
      <c r="BI46" s="134" t="s">
        <v>1085</v>
      </c>
      <c r="BJ46" s="134" t="s">
        <v>1085</v>
      </c>
      <c r="BK46" s="134" t="s">
        <v>1085</v>
      </c>
      <c r="BL46" s="134" t="s">
        <v>1085</v>
      </c>
      <c r="BM46" s="134" t="s">
        <v>1085</v>
      </c>
      <c r="BN46" s="134" t="s">
        <v>1085</v>
      </c>
      <c r="BO46" s="134" t="s">
        <v>1085</v>
      </c>
      <c r="BP46" s="134" t="s">
        <v>1085</v>
      </c>
      <c r="BQ46" s="134" t="s">
        <v>1085</v>
      </c>
      <c r="BR46" s="134" t="s">
        <v>1085</v>
      </c>
      <c r="BS46" s="134" t="s">
        <v>1085</v>
      </c>
      <c r="BT46" s="134" t="s">
        <v>1085</v>
      </c>
      <c r="BU46" s="134" t="s">
        <v>1085</v>
      </c>
      <c r="BV46" s="134" t="s">
        <v>1085</v>
      </c>
      <c r="BW46" s="134" t="s">
        <v>1085</v>
      </c>
      <c r="BX46" s="134" t="s">
        <v>1085</v>
      </c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29" t="s">
        <v>1073</v>
      </c>
      <c r="CJ46" s="129" t="s">
        <v>1073</v>
      </c>
      <c r="CK46" s="129" t="s">
        <v>1073</v>
      </c>
      <c r="CL46" s="129" t="s">
        <v>1073</v>
      </c>
      <c r="CM46" s="129" t="s">
        <v>1073</v>
      </c>
      <c r="CN46" s="129" t="s">
        <v>1073</v>
      </c>
      <c r="CO46" s="129" t="s">
        <v>1073</v>
      </c>
      <c r="CP46" s="129" t="s">
        <v>1073</v>
      </c>
      <c r="CQ46" s="129" t="s">
        <v>1073</v>
      </c>
      <c r="CR46" s="129" t="s">
        <v>1073</v>
      </c>
      <c r="CS46" s="129" t="s">
        <v>1073</v>
      </c>
      <c r="CT46" s="129" t="s">
        <v>1073</v>
      </c>
      <c r="CU46" s="129" t="s">
        <v>1073</v>
      </c>
      <c r="CV46" s="129" t="s">
        <v>1073</v>
      </c>
      <c r="CW46" s="129" t="s">
        <v>1073</v>
      </c>
      <c r="CX46" s="129" t="s">
        <v>1073</v>
      </c>
      <c r="CY46" s="129" t="s">
        <v>1073</v>
      </c>
      <c r="CZ46" s="129" t="s">
        <v>1073</v>
      </c>
      <c r="DA46" s="129" t="s">
        <v>1073</v>
      </c>
    </row>
    <row r="47" spans="1:105" ht="17.25" customHeight="1">
      <c r="A47" s="137" t="s">
        <v>1073</v>
      </c>
      <c r="B47" s="215" t="s">
        <v>976</v>
      </c>
      <c r="C47" s="215" t="s">
        <v>976</v>
      </c>
      <c r="D47" s="215" t="s">
        <v>976</v>
      </c>
      <c r="E47" s="215" t="s">
        <v>976</v>
      </c>
      <c r="F47" s="215" t="s">
        <v>976</v>
      </c>
      <c r="G47" s="215" t="s">
        <v>976</v>
      </c>
      <c r="H47" s="215" t="s">
        <v>976</v>
      </c>
      <c r="I47" s="215" t="s">
        <v>976</v>
      </c>
      <c r="J47" s="215" t="s">
        <v>976</v>
      </c>
      <c r="K47" s="215" t="s">
        <v>976</v>
      </c>
      <c r="L47" s="215" t="s">
        <v>976</v>
      </c>
      <c r="M47" s="215" t="s">
        <v>976</v>
      </c>
      <c r="N47" s="215" t="s">
        <v>976</v>
      </c>
      <c r="O47" s="215" t="s">
        <v>976</v>
      </c>
      <c r="P47" s="215" t="s">
        <v>976</v>
      </c>
      <c r="Q47" s="215" t="s">
        <v>976</v>
      </c>
      <c r="R47" s="215" t="s">
        <v>976</v>
      </c>
      <c r="S47" s="215" t="s">
        <v>976</v>
      </c>
      <c r="T47" s="215" t="s">
        <v>976</v>
      </c>
      <c r="U47" s="215" t="s">
        <v>976</v>
      </c>
      <c r="V47" s="215" t="s">
        <v>976</v>
      </c>
      <c r="W47" s="215" t="s">
        <v>976</v>
      </c>
      <c r="X47" s="215" t="s">
        <v>976</v>
      </c>
      <c r="Y47" s="215" t="s">
        <v>976</v>
      </c>
      <c r="Z47" s="215" t="s">
        <v>976</v>
      </c>
      <c r="AA47" s="215" t="s">
        <v>976</v>
      </c>
      <c r="AB47" s="215" t="s">
        <v>976</v>
      </c>
      <c r="AC47" s="215" t="s">
        <v>976</v>
      </c>
      <c r="AD47" s="215" t="s">
        <v>978</v>
      </c>
      <c r="AE47" s="215" t="s">
        <v>978</v>
      </c>
      <c r="AF47" s="215" t="s">
        <v>978</v>
      </c>
      <c r="AG47" s="215" t="s">
        <v>978</v>
      </c>
      <c r="AH47" s="215" t="s">
        <v>978</v>
      </c>
      <c r="AI47" s="215" t="s">
        <v>978</v>
      </c>
      <c r="AJ47" s="215" t="s">
        <v>978</v>
      </c>
      <c r="AK47" s="215" t="s">
        <v>978</v>
      </c>
      <c r="AL47" s="215" t="s">
        <v>978</v>
      </c>
      <c r="AM47" s="215" t="s">
        <v>978</v>
      </c>
      <c r="AN47" s="215" t="s">
        <v>978</v>
      </c>
      <c r="AO47" s="215" t="s">
        <v>978</v>
      </c>
      <c r="AP47" s="215" t="s">
        <v>978</v>
      </c>
      <c r="AQ47" s="215" t="s">
        <v>978</v>
      </c>
      <c r="AR47" s="215" t="s">
        <v>978</v>
      </c>
      <c r="AS47" s="215" t="s">
        <v>978</v>
      </c>
      <c r="AT47" s="215" t="s">
        <v>978</v>
      </c>
      <c r="AU47" s="215" t="s">
        <v>978</v>
      </c>
      <c r="AV47" s="215" t="s">
        <v>978</v>
      </c>
      <c r="AW47" s="215" t="s">
        <v>978</v>
      </c>
      <c r="AX47" s="215" t="s">
        <v>978</v>
      </c>
      <c r="AY47" s="215" t="s">
        <v>978</v>
      </c>
      <c r="AZ47" s="215" t="s">
        <v>978</v>
      </c>
      <c r="BA47" s="215" t="s">
        <v>978</v>
      </c>
      <c r="BB47" s="215" t="s">
        <v>978</v>
      </c>
      <c r="BC47" s="215" t="s">
        <v>978</v>
      </c>
      <c r="BD47" s="215" t="s">
        <v>978</v>
      </c>
      <c r="BE47" s="215" t="s">
        <v>978</v>
      </c>
      <c r="BF47" s="215" t="s">
        <v>978</v>
      </c>
      <c r="BG47" s="215" t="s">
        <v>978</v>
      </c>
      <c r="BH47" s="215" t="s">
        <v>978</v>
      </c>
      <c r="BI47" s="215" t="s">
        <v>978</v>
      </c>
      <c r="BJ47" s="215" t="s">
        <v>978</v>
      </c>
      <c r="BK47" s="215" t="s">
        <v>978</v>
      </c>
      <c r="BL47" s="215" t="s">
        <v>978</v>
      </c>
      <c r="BM47" s="215" t="s">
        <v>978</v>
      </c>
      <c r="BN47" s="215" t="s">
        <v>978</v>
      </c>
      <c r="BO47" s="215" t="s">
        <v>978</v>
      </c>
      <c r="BP47" s="215" t="s">
        <v>978</v>
      </c>
      <c r="BQ47" s="215" t="s">
        <v>978</v>
      </c>
      <c r="BR47" s="215" t="s">
        <v>978</v>
      </c>
      <c r="BS47" s="215" t="s">
        <v>978</v>
      </c>
      <c r="BT47" s="215" t="s">
        <v>978</v>
      </c>
      <c r="BU47" s="215" t="s">
        <v>978</v>
      </c>
      <c r="BV47" s="215" t="s">
        <v>978</v>
      </c>
      <c r="BW47" s="215" t="s">
        <v>978</v>
      </c>
      <c r="BX47" s="215" t="s">
        <v>978</v>
      </c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129" t="s">
        <v>1073</v>
      </c>
      <c r="CJ47" s="129" t="s">
        <v>1073</v>
      </c>
      <c r="CK47" s="129" t="s">
        <v>1073</v>
      </c>
      <c r="CL47" s="129" t="s">
        <v>1073</v>
      </c>
      <c r="CM47" s="129" t="s">
        <v>1073</v>
      </c>
      <c r="CN47" s="129" t="s">
        <v>1073</v>
      </c>
      <c r="CO47" s="129" t="s">
        <v>1073</v>
      </c>
      <c r="CP47" s="129" t="s">
        <v>1073</v>
      </c>
      <c r="CQ47" s="129" t="s">
        <v>1073</v>
      </c>
      <c r="CR47" s="129" t="s">
        <v>1073</v>
      </c>
      <c r="CS47" s="129" t="s">
        <v>1073</v>
      </c>
      <c r="CT47" s="129" t="s">
        <v>1073</v>
      </c>
      <c r="CU47" s="129" t="s">
        <v>1073</v>
      </c>
      <c r="CV47" s="129" t="s">
        <v>1073</v>
      </c>
      <c r="CW47" s="129" t="s">
        <v>1073</v>
      </c>
      <c r="CX47" s="129" t="s">
        <v>1073</v>
      </c>
      <c r="CY47" s="129" t="s">
        <v>1073</v>
      </c>
      <c r="CZ47" s="129" t="s">
        <v>1073</v>
      </c>
      <c r="DA47" s="129" t="s">
        <v>1073</v>
      </c>
    </row>
    <row r="48" spans="1:105" ht="15">
      <c r="A48" s="137" t="s">
        <v>1073</v>
      </c>
      <c r="B48" s="134" t="s">
        <v>1226</v>
      </c>
      <c r="C48" s="134" t="s">
        <v>1226</v>
      </c>
      <c r="D48" s="134" t="s">
        <v>1226</v>
      </c>
      <c r="E48" s="134" t="s">
        <v>1226</v>
      </c>
      <c r="F48" s="134" t="s">
        <v>1226</v>
      </c>
      <c r="G48" s="134" t="s">
        <v>1226</v>
      </c>
      <c r="H48" s="134" t="s">
        <v>1226</v>
      </c>
      <c r="I48" s="134" t="s">
        <v>1226</v>
      </c>
      <c r="J48" s="134" t="s">
        <v>1226</v>
      </c>
      <c r="K48" s="134" t="s">
        <v>1226</v>
      </c>
      <c r="L48" s="134" t="s">
        <v>1226</v>
      </c>
      <c r="M48" s="134" t="s">
        <v>1226</v>
      </c>
      <c r="N48" s="134" t="s">
        <v>1226</v>
      </c>
      <c r="O48" s="134" t="s">
        <v>1226</v>
      </c>
      <c r="P48" s="134" t="s">
        <v>1226</v>
      </c>
      <c r="Q48" s="134" t="s">
        <v>1226</v>
      </c>
      <c r="R48" s="134" t="s">
        <v>1226</v>
      </c>
      <c r="S48" s="134" t="s">
        <v>1226</v>
      </c>
      <c r="T48" s="134" t="s">
        <v>1226</v>
      </c>
      <c r="U48" s="134" t="s">
        <v>1226</v>
      </c>
      <c r="V48" s="134" t="s">
        <v>1226</v>
      </c>
      <c r="W48" s="134" t="s">
        <v>1226</v>
      </c>
      <c r="X48" s="134" t="s">
        <v>1226</v>
      </c>
      <c r="Y48" s="134" t="s">
        <v>1226</v>
      </c>
      <c r="Z48" s="134" t="s">
        <v>1226</v>
      </c>
      <c r="AA48" s="134" t="s">
        <v>1226</v>
      </c>
      <c r="AB48" s="134" t="s">
        <v>1226</v>
      </c>
      <c r="AC48" s="134" t="s">
        <v>1226</v>
      </c>
      <c r="AD48" s="134" t="s">
        <v>1226</v>
      </c>
      <c r="AE48" s="134" t="s">
        <v>1226</v>
      </c>
      <c r="AF48" s="134" t="s">
        <v>1226</v>
      </c>
      <c r="AG48" s="134" t="s">
        <v>1226</v>
      </c>
      <c r="AH48" s="134" t="s">
        <v>1226</v>
      </c>
      <c r="AI48" s="134" t="s">
        <v>1226</v>
      </c>
      <c r="AJ48" s="134" t="s">
        <v>1226</v>
      </c>
      <c r="AK48" s="134" t="s">
        <v>1226</v>
      </c>
      <c r="AL48" s="134" t="s">
        <v>1226</v>
      </c>
      <c r="AM48" s="134" t="s">
        <v>1226</v>
      </c>
      <c r="AN48" s="134" t="s">
        <v>1226</v>
      </c>
      <c r="AO48" s="134" t="s">
        <v>1226</v>
      </c>
      <c r="AP48" s="134" t="s">
        <v>1226</v>
      </c>
      <c r="AQ48" s="134" t="s">
        <v>1226</v>
      </c>
      <c r="AR48" s="134" t="s">
        <v>1226</v>
      </c>
      <c r="AS48" s="134" t="s">
        <v>1226</v>
      </c>
      <c r="AT48" s="134" t="s">
        <v>1226</v>
      </c>
      <c r="AU48" s="134" t="s">
        <v>1226</v>
      </c>
      <c r="AV48" s="134" t="s">
        <v>1226</v>
      </c>
      <c r="AW48" s="134" t="s">
        <v>1226</v>
      </c>
      <c r="AX48" s="134" t="s">
        <v>1226</v>
      </c>
      <c r="AY48" s="134" t="s">
        <v>1226</v>
      </c>
      <c r="AZ48" s="134" t="s">
        <v>1226</v>
      </c>
      <c r="BA48" s="134" t="s">
        <v>1226</v>
      </c>
      <c r="BB48" s="134" t="s">
        <v>1226</v>
      </c>
      <c r="BC48" s="134" t="s">
        <v>1226</v>
      </c>
      <c r="BD48" s="134" t="s">
        <v>1226</v>
      </c>
      <c r="BE48" s="134" t="s">
        <v>1226</v>
      </c>
      <c r="BF48" s="134" t="s">
        <v>1226</v>
      </c>
      <c r="BG48" s="134" t="s">
        <v>1226</v>
      </c>
      <c r="BH48" s="134" t="s">
        <v>1226</v>
      </c>
      <c r="BI48" s="134" t="s">
        <v>1226</v>
      </c>
      <c r="BJ48" s="134" t="s">
        <v>1226</v>
      </c>
      <c r="BK48" s="134" t="s">
        <v>1226</v>
      </c>
      <c r="BL48" s="134" t="s">
        <v>1226</v>
      </c>
      <c r="BM48" s="134" t="s">
        <v>1226</v>
      </c>
      <c r="BN48" s="134" t="s">
        <v>1226</v>
      </c>
      <c r="BO48" s="134" t="s">
        <v>1226</v>
      </c>
      <c r="BP48" s="134" t="s">
        <v>1226</v>
      </c>
      <c r="BQ48" s="134" t="s">
        <v>1226</v>
      </c>
      <c r="BR48" s="134" t="s">
        <v>1226</v>
      </c>
      <c r="BS48" s="134" t="s">
        <v>1226</v>
      </c>
      <c r="BT48" s="134" t="s">
        <v>1226</v>
      </c>
      <c r="BU48" s="134" t="s">
        <v>1226</v>
      </c>
      <c r="BV48" s="134" t="s">
        <v>1226</v>
      </c>
      <c r="BW48" s="134" t="s">
        <v>1226</v>
      </c>
      <c r="BX48" s="134" t="s">
        <v>1226</v>
      </c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29" t="s">
        <v>1073</v>
      </c>
      <c r="CJ48" s="129" t="s">
        <v>1073</v>
      </c>
      <c r="CK48" s="129" t="s">
        <v>1073</v>
      </c>
      <c r="CL48" s="129" t="s">
        <v>1073</v>
      </c>
      <c r="CM48" s="129" t="s">
        <v>1073</v>
      </c>
      <c r="CN48" s="129" t="s">
        <v>1073</v>
      </c>
      <c r="CO48" s="129" t="s">
        <v>1073</v>
      </c>
      <c r="CP48" s="129" t="s">
        <v>1073</v>
      </c>
      <c r="CQ48" s="129" t="s">
        <v>1073</v>
      </c>
      <c r="CR48" s="129" t="s">
        <v>1073</v>
      </c>
      <c r="CS48" s="129" t="s">
        <v>1073</v>
      </c>
      <c r="CT48" s="129" t="s">
        <v>1073</v>
      </c>
      <c r="CU48" s="129" t="s">
        <v>1073</v>
      </c>
      <c r="CV48" s="129" t="s">
        <v>1073</v>
      </c>
      <c r="CW48" s="129" t="s">
        <v>1073</v>
      </c>
      <c r="CX48" s="129" t="s">
        <v>1073</v>
      </c>
      <c r="CY48" s="129" t="s">
        <v>1073</v>
      </c>
      <c r="CZ48" s="129" t="s">
        <v>1073</v>
      </c>
      <c r="DA48" s="129" t="s">
        <v>1073</v>
      </c>
    </row>
    <row r="49" spans="1:105" ht="16.5" customHeight="1">
      <c r="A49" s="137" t="s">
        <v>1073</v>
      </c>
      <c r="B49" s="215" t="s">
        <v>977</v>
      </c>
      <c r="C49" s="215" t="s">
        <v>977</v>
      </c>
      <c r="D49" s="215" t="s">
        <v>977</v>
      </c>
      <c r="E49" s="215" t="s">
        <v>977</v>
      </c>
      <c r="F49" s="215" t="s">
        <v>977</v>
      </c>
      <c r="G49" s="215" t="s">
        <v>977</v>
      </c>
      <c r="H49" s="215" t="s">
        <v>977</v>
      </c>
      <c r="I49" s="215" t="s">
        <v>977</v>
      </c>
      <c r="J49" s="215" t="s">
        <v>977</v>
      </c>
      <c r="K49" s="215" t="s">
        <v>977</v>
      </c>
      <c r="L49" s="215" t="s">
        <v>977</v>
      </c>
      <c r="M49" s="215" t="s">
        <v>977</v>
      </c>
      <c r="N49" s="215" t="s">
        <v>977</v>
      </c>
      <c r="O49" s="215" t="s">
        <v>977</v>
      </c>
      <c r="P49" s="215" t="s">
        <v>977</v>
      </c>
      <c r="Q49" s="215" t="s">
        <v>977</v>
      </c>
      <c r="R49" s="215" t="s">
        <v>977</v>
      </c>
      <c r="S49" s="215" t="s">
        <v>977</v>
      </c>
      <c r="T49" s="215" t="s">
        <v>977</v>
      </c>
      <c r="U49" s="215" t="s">
        <v>977</v>
      </c>
      <c r="V49" s="215" t="s">
        <v>977</v>
      </c>
      <c r="W49" s="215" t="s">
        <v>977</v>
      </c>
      <c r="X49" s="215" t="s">
        <v>977</v>
      </c>
      <c r="Y49" s="215" t="s">
        <v>977</v>
      </c>
      <c r="Z49" s="215" t="s">
        <v>977</v>
      </c>
      <c r="AA49" s="215" t="s">
        <v>977</v>
      </c>
      <c r="AB49" s="215" t="s">
        <v>977</v>
      </c>
      <c r="AC49" s="215" t="s">
        <v>977</v>
      </c>
      <c r="AD49" s="215" t="s">
        <v>977</v>
      </c>
      <c r="AE49" s="215" t="s">
        <v>977</v>
      </c>
      <c r="AF49" s="215" t="s">
        <v>977</v>
      </c>
      <c r="AG49" s="215" t="s">
        <v>977</v>
      </c>
      <c r="AH49" s="215" t="s">
        <v>977</v>
      </c>
      <c r="AI49" s="215" t="s">
        <v>977</v>
      </c>
      <c r="AJ49" s="215" t="s">
        <v>977</v>
      </c>
      <c r="AK49" s="215" t="s">
        <v>977</v>
      </c>
      <c r="AL49" s="215" t="s">
        <v>977</v>
      </c>
      <c r="AM49" s="215" t="s">
        <v>977</v>
      </c>
      <c r="AN49" s="215" t="s">
        <v>977</v>
      </c>
      <c r="AO49" s="215" t="s">
        <v>977</v>
      </c>
      <c r="AP49" s="215" t="s">
        <v>977</v>
      </c>
      <c r="AQ49" s="215" t="s">
        <v>977</v>
      </c>
      <c r="AR49" s="215" t="s">
        <v>977</v>
      </c>
      <c r="AS49" s="215" t="s">
        <v>977</v>
      </c>
      <c r="AT49" s="215" t="s">
        <v>977</v>
      </c>
      <c r="AU49" s="215" t="s">
        <v>977</v>
      </c>
      <c r="AV49" s="215" t="s">
        <v>977</v>
      </c>
      <c r="AW49" s="215" t="s">
        <v>977</v>
      </c>
      <c r="AX49" s="215" t="s">
        <v>977</v>
      </c>
      <c r="AY49" s="215" t="s">
        <v>977</v>
      </c>
      <c r="AZ49" s="215" t="s">
        <v>977</v>
      </c>
      <c r="BA49" s="215" t="s">
        <v>977</v>
      </c>
      <c r="BB49" s="215" t="s">
        <v>977</v>
      </c>
      <c r="BC49" s="215" t="s">
        <v>977</v>
      </c>
      <c r="BD49" s="215" t="s">
        <v>977</v>
      </c>
      <c r="BE49" s="215" t="s">
        <v>977</v>
      </c>
      <c r="BF49" s="215" t="s">
        <v>977</v>
      </c>
      <c r="BG49" s="215" t="s">
        <v>977</v>
      </c>
      <c r="BH49" s="215" t="s">
        <v>977</v>
      </c>
      <c r="BI49" s="215" t="s">
        <v>977</v>
      </c>
      <c r="BJ49" s="215" t="s">
        <v>977</v>
      </c>
      <c r="BK49" s="215" t="s">
        <v>977</v>
      </c>
      <c r="BL49" s="215" t="s">
        <v>977</v>
      </c>
      <c r="BM49" s="215" t="s">
        <v>977</v>
      </c>
      <c r="BN49" s="215" t="s">
        <v>977</v>
      </c>
      <c r="BO49" s="215" t="s">
        <v>977</v>
      </c>
      <c r="BP49" s="215" t="s">
        <v>977</v>
      </c>
      <c r="BQ49" s="215" t="s">
        <v>977</v>
      </c>
      <c r="BR49" s="215" t="s">
        <v>977</v>
      </c>
      <c r="BS49" s="215" t="s">
        <v>977</v>
      </c>
      <c r="BT49" s="215" t="s">
        <v>977</v>
      </c>
      <c r="BU49" s="215" t="s">
        <v>977</v>
      </c>
      <c r="BV49" s="215" t="s">
        <v>977</v>
      </c>
      <c r="BW49" s="215" t="s">
        <v>977</v>
      </c>
      <c r="BX49" s="215" t="s">
        <v>977</v>
      </c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129" t="s">
        <v>1073</v>
      </c>
      <c r="CJ49" s="129" t="s">
        <v>1073</v>
      </c>
      <c r="CK49" s="129" t="s">
        <v>1073</v>
      </c>
      <c r="CL49" s="129" t="s">
        <v>1073</v>
      </c>
      <c r="CM49" s="129" t="s">
        <v>1073</v>
      </c>
      <c r="CN49" s="129" t="s">
        <v>1073</v>
      </c>
      <c r="CO49" s="129" t="s">
        <v>1073</v>
      </c>
      <c r="CP49" s="129" t="s">
        <v>1073</v>
      </c>
      <c r="CQ49" s="129" t="s">
        <v>1073</v>
      </c>
      <c r="CR49" s="129" t="s">
        <v>1073</v>
      </c>
      <c r="CS49" s="129" t="s">
        <v>1073</v>
      </c>
      <c r="CT49" s="129" t="s">
        <v>1073</v>
      </c>
      <c r="CU49" s="129" t="s">
        <v>1073</v>
      </c>
      <c r="CV49" s="129" t="s">
        <v>1073</v>
      </c>
      <c r="CW49" s="129" t="s">
        <v>1073</v>
      </c>
      <c r="CX49" s="129" t="s">
        <v>1073</v>
      </c>
      <c r="CY49" s="129" t="s">
        <v>1073</v>
      </c>
      <c r="CZ49" s="129" t="s">
        <v>1073</v>
      </c>
      <c r="DA49" s="129" t="s">
        <v>1073</v>
      </c>
    </row>
    <row r="50" spans="1:105" ht="15">
      <c r="A50" s="137" t="s">
        <v>1073</v>
      </c>
      <c r="B50" s="134" t="s">
        <v>1225</v>
      </c>
      <c r="C50" s="134" t="s">
        <v>1225</v>
      </c>
      <c r="D50" s="134" t="s">
        <v>1225</v>
      </c>
      <c r="E50" s="134" t="s">
        <v>1225</v>
      </c>
      <c r="F50" s="134" t="s">
        <v>1225</v>
      </c>
      <c r="G50" s="134" t="s">
        <v>1225</v>
      </c>
      <c r="H50" s="134" t="s">
        <v>1225</v>
      </c>
      <c r="I50" s="134" t="s">
        <v>1225</v>
      </c>
      <c r="J50" s="134" t="s">
        <v>1225</v>
      </c>
      <c r="K50" s="134" t="s">
        <v>1225</v>
      </c>
      <c r="L50" s="134" t="s">
        <v>1225</v>
      </c>
      <c r="M50" s="134" t="s">
        <v>1225</v>
      </c>
      <c r="N50" s="134" t="s">
        <v>1225</v>
      </c>
      <c r="O50" s="134" t="s">
        <v>1225</v>
      </c>
      <c r="P50" s="134" t="s">
        <v>1225</v>
      </c>
      <c r="Q50" s="134" t="s">
        <v>1225</v>
      </c>
      <c r="R50" s="134" t="s">
        <v>1225</v>
      </c>
      <c r="S50" s="134" t="s">
        <v>1225</v>
      </c>
      <c r="T50" s="134" t="s">
        <v>1225</v>
      </c>
      <c r="U50" s="134" t="s">
        <v>1225</v>
      </c>
      <c r="V50" s="134" t="s">
        <v>1225</v>
      </c>
      <c r="W50" s="134" t="s">
        <v>1225</v>
      </c>
      <c r="X50" s="134" t="s">
        <v>1225</v>
      </c>
      <c r="Y50" s="134" t="s">
        <v>1225</v>
      </c>
      <c r="Z50" s="134" t="s">
        <v>1225</v>
      </c>
      <c r="AA50" s="134" t="s">
        <v>1225</v>
      </c>
      <c r="AB50" s="134" t="s">
        <v>1225</v>
      </c>
      <c r="AC50" s="134" t="s">
        <v>1225</v>
      </c>
      <c r="AD50" s="134" t="s">
        <v>1225</v>
      </c>
      <c r="AE50" s="134" t="s">
        <v>1225</v>
      </c>
      <c r="AF50" s="134" t="s">
        <v>1225</v>
      </c>
      <c r="AG50" s="134" t="s">
        <v>1225</v>
      </c>
      <c r="AH50" s="134" t="s">
        <v>1225</v>
      </c>
      <c r="AI50" s="134" t="s">
        <v>1225</v>
      </c>
      <c r="AJ50" s="134" t="s">
        <v>1225</v>
      </c>
      <c r="AK50" s="134" t="s">
        <v>1225</v>
      </c>
      <c r="AL50" s="134" t="s">
        <v>1225</v>
      </c>
      <c r="AM50" s="134" t="s">
        <v>1225</v>
      </c>
      <c r="AN50" s="134" t="s">
        <v>1225</v>
      </c>
      <c r="AO50" s="134" t="s">
        <v>1225</v>
      </c>
      <c r="AP50" s="134" t="s">
        <v>1225</v>
      </c>
      <c r="AQ50" s="134" t="s">
        <v>1225</v>
      </c>
      <c r="AR50" s="134" t="s">
        <v>1225</v>
      </c>
      <c r="AS50" s="134" t="s">
        <v>1225</v>
      </c>
      <c r="AT50" s="134" t="s">
        <v>1225</v>
      </c>
      <c r="AU50" s="134" t="s">
        <v>1225</v>
      </c>
      <c r="AV50" s="134" t="s">
        <v>1225</v>
      </c>
      <c r="AW50" s="134" t="s">
        <v>1225</v>
      </c>
      <c r="AX50" s="134" t="s">
        <v>1225</v>
      </c>
      <c r="AY50" s="134" t="s">
        <v>1225</v>
      </c>
      <c r="AZ50" s="134" t="s">
        <v>1225</v>
      </c>
      <c r="BA50" s="134" t="s">
        <v>1225</v>
      </c>
      <c r="BB50" s="134" t="s">
        <v>1225</v>
      </c>
      <c r="BC50" s="134" t="s">
        <v>1225</v>
      </c>
      <c r="BD50" s="134" t="s">
        <v>1225</v>
      </c>
      <c r="BE50" s="134" t="s">
        <v>1225</v>
      </c>
      <c r="BF50" s="134" t="s">
        <v>1225</v>
      </c>
      <c r="BG50" s="134" t="s">
        <v>1225</v>
      </c>
      <c r="BH50" s="134" t="s">
        <v>1225</v>
      </c>
      <c r="BI50" s="134" t="s">
        <v>1225</v>
      </c>
      <c r="BJ50" s="134" t="s">
        <v>1225</v>
      </c>
      <c r="BK50" s="134" t="s">
        <v>1225</v>
      </c>
      <c r="BL50" s="134" t="s">
        <v>1225</v>
      </c>
      <c r="BM50" s="134" t="s">
        <v>1225</v>
      </c>
      <c r="BN50" s="134" t="s">
        <v>1225</v>
      </c>
      <c r="BO50" s="134" t="s">
        <v>1225</v>
      </c>
      <c r="BP50" s="134" t="s">
        <v>1225</v>
      </c>
      <c r="BQ50" s="134" t="s">
        <v>1225</v>
      </c>
      <c r="BR50" s="134" t="s">
        <v>1225</v>
      </c>
      <c r="BS50" s="134" t="s">
        <v>1225</v>
      </c>
      <c r="BT50" s="134" t="s">
        <v>1225</v>
      </c>
      <c r="BU50" s="134" t="s">
        <v>1225</v>
      </c>
      <c r="BV50" s="134" t="s">
        <v>1225</v>
      </c>
      <c r="BW50" s="134" t="s">
        <v>1225</v>
      </c>
      <c r="BX50" s="134" t="s">
        <v>1225</v>
      </c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29" t="s">
        <v>1073</v>
      </c>
      <c r="CJ50" s="129" t="s">
        <v>1073</v>
      </c>
      <c r="CK50" s="129" t="s">
        <v>1073</v>
      </c>
      <c r="CL50" s="129" t="s">
        <v>1073</v>
      </c>
      <c r="CM50" s="129" t="s">
        <v>1073</v>
      </c>
      <c r="CN50" s="129" t="s">
        <v>1073</v>
      </c>
      <c r="CO50" s="129" t="s">
        <v>1073</v>
      </c>
      <c r="CP50" s="129" t="s">
        <v>1073</v>
      </c>
      <c r="CQ50" s="129" t="s">
        <v>1073</v>
      </c>
      <c r="CR50" s="129" t="s">
        <v>1073</v>
      </c>
      <c r="CS50" s="129" t="s">
        <v>1073</v>
      </c>
      <c r="CT50" s="129" t="s">
        <v>1073</v>
      </c>
      <c r="CU50" s="129" t="s">
        <v>1073</v>
      </c>
      <c r="CV50" s="129" t="s">
        <v>1073</v>
      </c>
      <c r="CW50" s="129" t="s">
        <v>1073</v>
      </c>
      <c r="CX50" s="129" t="s">
        <v>1073</v>
      </c>
      <c r="CY50" s="129" t="s">
        <v>1073</v>
      </c>
      <c r="CZ50" s="129" t="s">
        <v>1073</v>
      </c>
      <c r="DA50" s="129" t="s">
        <v>1073</v>
      </c>
    </row>
    <row r="51" spans="1:105" ht="13.5" customHeight="1">
      <c r="A51" s="137" t="s">
        <v>1073</v>
      </c>
      <c r="B51" s="215" t="s">
        <v>979</v>
      </c>
      <c r="C51" s="215" t="s">
        <v>979</v>
      </c>
      <c r="D51" s="215" t="s">
        <v>979</v>
      </c>
      <c r="E51" s="215" t="s">
        <v>979</v>
      </c>
      <c r="F51" s="215" t="s">
        <v>979</v>
      </c>
      <c r="G51" s="215" t="s">
        <v>979</v>
      </c>
      <c r="H51" s="215" t="s">
        <v>979</v>
      </c>
      <c r="I51" s="215" t="s">
        <v>979</v>
      </c>
      <c r="J51" s="215" t="s">
        <v>979</v>
      </c>
      <c r="K51" s="215" t="s">
        <v>979</v>
      </c>
      <c r="L51" s="215" t="s">
        <v>979</v>
      </c>
      <c r="M51" s="215" t="s">
        <v>979</v>
      </c>
      <c r="N51" s="215" t="s">
        <v>979</v>
      </c>
      <c r="O51" s="215" t="s">
        <v>979</v>
      </c>
      <c r="P51" s="215" t="s">
        <v>979</v>
      </c>
      <c r="Q51" s="215" t="s">
        <v>979</v>
      </c>
      <c r="R51" s="215" t="s">
        <v>979</v>
      </c>
      <c r="S51" s="215" t="s">
        <v>979</v>
      </c>
      <c r="T51" s="215" t="s">
        <v>979</v>
      </c>
      <c r="U51" s="215" t="s">
        <v>979</v>
      </c>
      <c r="V51" s="215" t="s">
        <v>979</v>
      </c>
      <c r="W51" s="215" t="s">
        <v>979</v>
      </c>
      <c r="X51" s="215" t="s">
        <v>979</v>
      </c>
      <c r="Y51" s="215" t="s">
        <v>979</v>
      </c>
      <c r="Z51" s="215" t="s">
        <v>979</v>
      </c>
      <c r="AA51" s="215" t="s">
        <v>979</v>
      </c>
      <c r="AB51" s="215" t="s">
        <v>979</v>
      </c>
      <c r="AC51" s="215" t="s">
        <v>979</v>
      </c>
      <c r="AD51" s="215" t="s">
        <v>979</v>
      </c>
      <c r="AE51" s="215" t="s">
        <v>979</v>
      </c>
      <c r="AF51" s="215" t="s">
        <v>979</v>
      </c>
      <c r="AG51" s="215" t="s">
        <v>979</v>
      </c>
      <c r="AH51" s="215" t="s">
        <v>979</v>
      </c>
      <c r="AI51" s="215" t="s">
        <v>979</v>
      </c>
      <c r="AJ51" s="215" t="s">
        <v>979</v>
      </c>
      <c r="AK51" s="215" t="s">
        <v>979</v>
      </c>
      <c r="AL51" s="215" t="s">
        <v>979</v>
      </c>
      <c r="AM51" s="215" t="s">
        <v>979</v>
      </c>
      <c r="AN51" s="215" t="s">
        <v>979</v>
      </c>
      <c r="AO51" s="215" t="s">
        <v>979</v>
      </c>
      <c r="AP51" s="215" t="s">
        <v>979</v>
      </c>
      <c r="AQ51" s="215" t="s">
        <v>979</v>
      </c>
      <c r="AR51" s="215" t="s">
        <v>979</v>
      </c>
      <c r="AS51" s="215" t="s">
        <v>979</v>
      </c>
      <c r="AT51" s="215" t="s">
        <v>979</v>
      </c>
      <c r="AU51" s="215" t="s">
        <v>979</v>
      </c>
      <c r="AV51" s="215" t="s">
        <v>979</v>
      </c>
      <c r="AW51" s="215" t="s">
        <v>979</v>
      </c>
      <c r="AX51" s="215" t="s">
        <v>979</v>
      </c>
      <c r="AY51" s="215" t="s">
        <v>979</v>
      </c>
      <c r="AZ51" s="215" t="s">
        <v>979</v>
      </c>
      <c r="BA51" s="215" t="s">
        <v>979</v>
      </c>
      <c r="BB51" s="215" t="s">
        <v>979</v>
      </c>
      <c r="BC51" s="215" t="s">
        <v>979</v>
      </c>
      <c r="BD51" s="215" t="s">
        <v>979</v>
      </c>
      <c r="BE51" s="215" t="s">
        <v>979</v>
      </c>
      <c r="BF51" s="215" t="s">
        <v>979</v>
      </c>
      <c r="BG51" s="215" t="s">
        <v>979</v>
      </c>
      <c r="BH51" s="215" t="s">
        <v>979</v>
      </c>
      <c r="BI51" s="215" t="s">
        <v>979</v>
      </c>
      <c r="BJ51" s="215" t="s">
        <v>979</v>
      </c>
      <c r="BK51" s="215" t="s">
        <v>979</v>
      </c>
      <c r="BL51" s="215" t="s">
        <v>979</v>
      </c>
      <c r="BM51" s="215" t="s">
        <v>979</v>
      </c>
      <c r="BN51" s="215" t="s">
        <v>979</v>
      </c>
      <c r="BO51" s="215" t="s">
        <v>979</v>
      </c>
      <c r="BP51" s="215" t="s">
        <v>979</v>
      </c>
      <c r="BQ51" s="215" t="s">
        <v>979</v>
      </c>
      <c r="BR51" s="215" t="s">
        <v>979</v>
      </c>
      <c r="BS51" s="215" t="s">
        <v>979</v>
      </c>
      <c r="BT51" s="215" t="s">
        <v>979</v>
      </c>
      <c r="BU51" s="215" t="s">
        <v>979</v>
      </c>
      <c r="BV51" s="215" t="s">
        <v>979</v>
      </c>
      <c r="BW51" s="215" t="s">
        <v>979</v>
      </c>
      <c r="BX51" s="215" t="s">
        <v>979</v>
      </c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129" t="s">
        <v>1073</v>
      </c>
      <c r="CJ51" s="129" t="s">
        <v>1073</v>
      </c>
      <c r="CK51" s="129" t="s">
        <v>1073</v>
      </c>
      <c r="CL51" s="129" t="s">
        <v>1073</v>
      </c>
      <c r="CM51" s="129" t="s">
        <v>1073</v>
      </c>
      <c r="CN51" s="129" t="s">
        <v>1073</v>
      </c>
      <c r="CO51" s="129" t="s">
        <v>1073</v>
      </c>
      <c r="CP51" s="129" t="s">
        <v>1073</v>
      </c>
      <c r="CQ51" s="129" t="s">
        <v>1073</v>
      </c>
      <c r="CR51" s="129" t="s">
        <v>1073</v>
      </c>
      <c r="CS51" s="129" t="s">
        <v>1073</v>
      </c>
      <c r="CT51" s="129" t="s">
        <v>1073</v>
      </c>
      <c r="CU51" s="129" t="s">
        <v>1073</v>
      </c>
      <c r="CV51" s="129" t="s">
        <v>1073</v>
      </c>
      <c r="CW51" s="129" t="s">
        <v>1073</v>
      </c>
      <c r="CX51" s="129" t="s">
        <v>1073</v>
      </c>
      <c r="CY51" s="129" t="s">
        <v>1073</v>
      </c>
      <c r="CZ51" s="129" t="s">
        <v>1073</v>
      </c>
      <c r="DA51" s="129" t="s">
        <v>1073</v>
      </c>
    </row>
    <row r="52" spans="1:105" ht="15">
      <c r="A52" s="137"/>
      <c r="B52" s="139" t="s">
        <v>1073</v>
      </c>
      <c r="C52" s="139" t="s">
        <v>1073</v>
      </c>
      <c r="D52" s="139" t="s">
        <v>1073</v>
      </c>
      <c r="E52" s="139" t="s">
        <v>1073</v>
      </c>
      <c r="F52" s="139" t="s">
        <v>1073</v>
      </c>
      <c r="G52" s="139" t="s">
        <v>1073</v>
      </c>
      <c r="H52" s="139" t="s">
        <v>1073</v>
      </c>
      <c r="I52" s="139" t="s">
        <v>1073</v>
      </c>
      <c r="J52" s="139" t="s">
        <v>1073</v>
      </c>
      <c r="K52" s="139" t="s">
        <v>1073</v>
      </c>
      <c r="L52" s="139" t="s">
        <v>1073</v>
      </c>
      <c r="M52" s="139" t="s">
        <v>1073</v>
      </c>
      <c r="N52" s="139" t="s">
        <v>1073</v>
      </c>
      <c r="O52" s="139" t="s">
        <v>1073</v>
      </c>
      <c r="P52" s="139" t="s">
        <v>1073</v>
      </c>
      <c r="Q52" s="139" t="s">
        <v>1073</v>
      </c>
      <c r="R52" s="139" t="s">
        <v>1073</v>
      </c>
      <c r="S52" s="139" t="s">
        <v>1073</v>
      </c>
      <c r="T52" s="139" t="s">
        <v>1073</v>
      </c>
      <c r="U52" s="139" t="s">
        <v>1073</v>
      </c>
      <c r="V52" s="139" t="s">
        <v>1073</v>
      </c>
      <c r="W52" s="138" t="str">
        <f>IF(Configurator!$D$26&lt;"E"," ","With RTD module")</f>
        <v>With RTD module</v>
      </c>
      <c r="X52" s="138" t="str">
        <f>IF(Configurator!$D$26&lt;"E"," ","With RTD module")</f>
        <v>With RTD module</v>
      </c>
      <c r="Y52" s="138" t="str">
        <f>IF(Configurator!$D$26&lt;"E"," ","With RTD module")</f>
        <v>With RTD module</v>
      </c>
      <c r="Z52" s="138" t="str">
        <f>IF(Configurator!$D$26&lt;"E"," ","With RTD module")</f>
        <v>With RTD module</v>
      </c>
      <c r="AA52" s="138" t="str">
        <f>IF(Configurator!$D$26&lt;"E"," ","With RTD module")</f>
        <v>With RTD module</v>
      </c>
      <c r="AB52" s="138" t="str">
        <f>IF(Configurator!$D$26&lt;"E"," ","With RTD module")</f>
        <v>With RTD module</v>
      </c>
      <c r="AC52" s="138" t="str">
        <f>IF(Configurator!$D$26&lt;"E"," ","With RTD module")</f>
        <v>With RTD module</v>
      </c>
      <c r="AD52" s="138" t="str">
        <f>IF(Configurator!$D$26&lt;"E"," ","With RTD module")</f>
        <v>With RTD module</v>
      </c>
      <c r="AE52" s="138" t="str">
        <f>IF(Configurator!$D$26&lt;"E"," ","With RTD module")</f>
        <v>With RTD module</v>
      </c>
      <c r="AF52" s="138" t="str">
        <f>IF(Configurator!$D$26&lt;"E"," ","With RTD module")</f>
        <v>With RTD module</v>
      </c>
      <c r="AG52" s="138" t="str">
        <f>IF(Configurator!$D$26&lt;"E"," ","With RTD module")</f>
        <v>With RTD module</v>
      </c>
      <c r="AH52" s="138" t="str">
        <f>IF(Configurator!$D$26&lt;"E"," ","With RTD module")</f>
        <v>With RTD module</v>
      </c>
      <c r="AI52" s="138" t="str">
        <f>IF(Configurator!$D$26&lt;"E"," ","With RTD module")</f>
        <v>With RTD module</v>
      </c>
      <c r="AJ52" s="138" t="str">
        <f>IF(Configurator!$D$26&lt;"E"," ","With RTD module")</f>
        <v>With RTD module</v>
      </c>
      <c r="AK52" s="138" t="str">
        <f>IF(Configurator!$D$26&lt;"E"," ","With RTD module")</f>
        <v>With RTD module</v>
      </c>
      <c r="AL52" s="138" t="str">
        <f>IF(Configurator!$D$26&lt;"E"," ","With RTD module")</f>
        <v>With RTD module</v>
      </c>
      <c r="AM52" s="138" t="str">
        <f>IF(Configurator!$D$26&lt;"E"," ","With RTD module")</f>
        <v>With RTD module</v>
      </c>
      <c r="AN52" s="138" t="str">
        <f>IF(Configurator!$D$26&lt;"E"," ","With RTD module")</f>
        <v>With RTD module</v>
      </c>
      <c r="AO52" s="138" t="str">
        <f>IF(Configurator!$D$26&lt;"E"," ","With RTD module")</f>
        <v>With RTD module</v>
      </c>
      <c r="AP52" s="138" t="str">
        <f>IF(Configurator!$D$26&lt;"E"," ","With RTD module")</f>
        <v>With RTD module</v>
      </c>
      <c r="AQ52" s="138" t="str">
        <f>IF(Configurator!$D$26&lt;"E"," ","With RTD module")</f>
        <v>With RTD module</v>
      </c>
      <c r="AR52" s="138" t="str">
        <f>IF(Configurator!$D$26&lt;"E"," ","With RTD module")</f>
        <v>With RTD module</v>
      </c>
      <c r="AS52" s="138" t="str">
        <f>IF(Configurator!$D$26&lt;"E"," ","With RTD module")</f>
        <v>With RTD module</v>
      </c>
      <c r="AT52" s="138" t="str">
        <f>IF(Configurator!$D$26&lt;"E"," ","With RTD module")</f>
        <v>With RTD module</v>
      </c>
      <c r="AU52" s="138" t="str">
        <f>IF(Configurator!$D$26&lt;"E"," ","With RTD module")</f>
        <v>With RTD module</v>
      </c>
      <c r="AV52" s="138" t="str">
        <f>IF(Configurator!$D$26&lt;"E"," ","With RTD module")</f>
        <v>With RTD module</v>
      </c>
      <c r="AW52" s="138" t="str">
        <f>IF(Configurator!$D$26&lt;"E"," ","With RTD module")</f>
        <v>With RTD module</v>
      </c>
      <c r="AX52" s="138" t="str">
        <f>IF(Configurator!$D$26&lt;"E"," ","With RTD module")</f>
        <v>With RTD module</v>
      </c>
      <c r="AY52" s="138" t="str">
        <f>IF(Configurator!$D$26&lt;"E"," ","With RTD module")</f>
        <v>With RTD module</v>
      </c>
      <c r="AZ52" s="138" t="str">
        <f>IF(Configurator!$D$26&lt;"E"," ","With RTD module")</f>
        <v>With RTD module</v>
      </c>
      <c r="BA52" s="138" t="str">
        <f>IF(Configurator!$D$26&lt;"E"," ","With RTD module")</f>
        <v>With RTD module</v>
      </c>
      <c r="BB52" s="134" t="s">
        <v>880</v>
      </c>
      <c r="BC52" s="134" t="s">
        <v>880</v>
      </c>
      <c r="BD52" s="134" t="s">
        <v>880</v>
      </c>
      <c r="BE52" s="134" t="s">
        <v>880</v>
      </c>
      <c r="BF52" s="134" t="s">
        <v>880</v>
      </c>
      <c r="BG52" s="134" t="s">
        <v>880</v>
      </c>
      <c r="BH52" s="134" t="s">
        <v>880</v>
      </c>
      <c r="BI52" s="134" t="s">
        <v>880</v>
      </c>
      <c r="BJ52" s="134" t="s">
        <v>880</v>
      </c>
      <c r="BK52" s="134" t="s">
        <v>880</v>
      </c>
      <c r="BL52" s="134" t="s">
        <v>880</v>
      </c>
      <c r="BM52" s="134" t="s">
        <v>880</v>
      </c>
      <c r="BN52" s="134" t="s">
        <v>880</v>
      </c>
      <c r="BO52" s="134" t="s">
        <v>880</v>
      </c>
      <c r="BP52" s="134" t="s">
        <v>880</v>
      </c>
      <c r="BQ52" s="134" t="s">
        <v>880</v>
      </c>
      <c r="BR52" s="134" t="s">
        <v>880</v>
      </c>
      <c r="BS52" s="134" t="s">
        <v>880</v>
      </c>
      <c r="BT52" s="134" t="s">
        <v>880</v>
      </c>
      <c r="BU52" s="134" t="s">
        <v>880</v>
      </c>
      <c r="BV52" s="134" t="s">
        <v>880</v>
      </c>
      <c r="BW52" s="134" t="s">
        <v>880</v>
      </c>
      <c r="BX52" s="134" t="s">
        <v>880</v>
      </c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</row>
    <row r="53" spans="1:105" ht="15">
      <c r="A53" s="137"/>
      <c r="B53" s="139" t="s">
        <v>1073</v>
      </c>
      <c r="C53" s="139" t="s">
        <v>1073</v>
      </c>
      <c r="D53" s="139" t="s">
        <v>1073</v>
      </c>
      <c r="E53" s="139" t="s">
        <v>1073</v>
      </c>
      <c r="F53" s="139" t="s">
        <v>1073</v>
      </c>
      <c r="G53" s="139" t="s">
        <v>1073</v>
      </c>
      <c r="H53" s="139" t="s">
        <v>1073</v>
      </c>
      <c r="I53" s="139" t="s">
        <v>1073</v>
      </c>
      <c r="J53" s="139" t="s">
        <v>1073</v>
      </c>
      <c r="K53" s="139" t="s">
        <v>1073</v>
      </c>
      <c r="L53" s="139" t="s">
        <v>1073</v>
      </c>
      <c r="M53" s="139" t="s">
        <v>1073</v>
      </c>
      <c r="N53" s="139" t="s">
        <v>1073</v>
      </c>
      <c r="O53" s="139" t="s">
        <v>1073</v>
      </c>
      <c r="P53" s="139" t="s">
        <v>1073</v>
      </c>
      <c r="Q53" s="139" t="s">
        <v>1073</v>
      </c>
      <c r="R53" s="139" t="s">
        <v>1073</v>
      </c>
      <c r="S53" s="139" t="s">
        <v>1073</v>
      </c>
      <c r="T53" s="139" t="s">
        <v>1073</v>
      </c>
      <c r="U53" s="139" t="s">
        <v>1073</v>
      </c>
      <c r="V53" s="139" t="s">
        <v>1073</v>
      </c>
      <c r="W53" s="138" t="str">
        <f>IF(Configurator!$D$26&lt;"E"," ","With RTD and analogue module")</f>
        <v>With RTD and analogue module</v>
      </c>
      <c r="X53" s="138" t="str">
        <f>IF(Configurator!$D$26&lt;"E"," ","With RTD and analogue module")</f>
        <v>With RTD and analogue module</v>
      </c>
      <c r="Y53" s="138" t="str">
        <f>IF(Configurator!$D$26&lt;"E"," ","With RTD and analogue module")</f>
        <v>With RTD and analogue module</v>
      </c>
      <c r="Z53" s="138" t="str">
        <f>IF(Configurator!$D$26&lt;"E"," ","With RTD and analogue module")</f>
        <v>With RTD and analogue module</v>
      </c>
      <c r="AA53" s="138" t="str">
        <f>IF(Configurator!$D$26&lt;"E"," ","With RTD and analogue module")</f>
        <v>With RTD and analogue module</v>
      </c>
      <c r="AB53" s="138" t="str">
        <f>IF(Configurator!$D$26&lt;"E"," ","With RTD and analogue module")</f>
        <v>With RTD and analogue module</v>
      </c>
      <c r="AC53" s="138" t="str">
        <f>IF(Configurator!$D$26&lt;"E"," ","With RTD and analogue module")</f>
        <v>With RTD and analogue module</v>
      </c>
      <c r="AD53" s="138" t="str">
        <f>IF(Configurator!$D$26&lt;"E"," ","With RTD and analogue module")</f>
        <v>With RTD and analogue module</v>
      </c>
      <c r="AE53" s="138" t="str">
        <f>IF(Configurator!$D$26&lt;"E"," ","With RTD and analogue module")</f>
        <v>With RTD and analogue module</v>
      </c>
      <c r="AF53" s="138" t="str">
        <f>IF(Configurator!$D$26&lt;"E"," ","With RTD and analogue module")</f>
        <v>With RTD and analogue module</v>
      </c>
      <c r="AG53" s="138" t="str">
        <f>IF(Configurator!$D$26&lt;"E"," ","With RTD and analogue module")</f>
        <v>With RTD and analogue module</v>
      </c>
      <c r="AH53" s="138" t="str">
        <f>IF(Configurator!$D$26&lt;"E"," ","With RTD and analogue module")</f>
        <v>With RTD and analogue module</v>
      </c>
      <c r="AI53" s="138" t="str">
        <f>IF(Configurator!$D$26&lt;"E"," ","With RTD and analogue module")</f>
        <v>With RTD and analogue module</v>
      </c>
      <c r="AJ53" s="138" t="str">
        <f>IF(Configurator!$D$26&lt;"E"," ","With RTD and analogue module")</f>
        <v>With RTD and analogue module</v>
      </c>
      <c r="AK53" s="138" t="str">
        <f>IF(Configurator!$D$26&lt;"E"," ","With RTD and analogue module")</f>
        <v>With RTD and analogue module</v>
      </c>
      <c r="AL53" s="138" t="str">
        <f>IF(Configurator!$D$26&lt;"E"," ","With RTD and analogue module")</f>
        <v>With RTD and analogue module</v>
      </c>
      <c r="AM53" s="138" t="str">
        <f>IF(Configurator!$D$26&lt;"E"," ","With RTD and analogue module")</f>
        <v>With RTD and analogue module</v>
      </c>
      <c r="AN53" s="138" t="str">
        <f>IF(Configurator!$D$26&lt;"E"," ","With RTD and analogue module")</f>
        <v>With RTD and analogue module</v>
      </c>
      <c r="AO53" s="138" t="str">
        <f>IF(Configurator!$D$26&lt;"E"," ","With RTD and analogue module")</f>
        <v>With RTD and analogue module</v>
      </c>
      <c r="AP53" s="138" t="str">
        <f>IF(Configurator!$D$26&lt;"E"," ","With RTD and analogue module")</f>
        <v>With RTD and analogue module</v>
      </c>
      <c r="AQ53" s="138" t="str">
        <f>IF(Configurator!$D$26&lt;"E"," ","With RTD and analogue module")</f>
        <v>With RTD and analogue module</v>
      </c>
      <c r="AR53" s="138" t="str">
        <f>IF(Configurator!$D$26&lt;"E"," ","With RTD and analogue module")</f>
        <v>With RTD and analogue module</v>
      </c>
      <c r="AS53" s="138" t="str">
        <f>IF(Configurator!$D$26&lt;"E"," ","With RTD and analogue module")</f>
        <v>With RTD and analogue module</v>
      </c>
      <c r="AT53" s="138" t="str">
        <f>IF(Configurator!$D$26&lt;"E"," ","With RTD and analogue module")</f>
        <v>With RTD and analogue module</v>
      </c>
      <c r="AU53" s="138" t="str">
        <f>IF(Configurator!$D$26&lt;"E"," ","With RTD and analogue module")</f>
        <v>With RTD and analogue module</v>
      </c>
      <c r="AV53" s="138" t="str">
        <f>IF(Configurator!$D$26&lt;"E"," ","With RTD and analogue module")</f>
        <v>With RTD and analogue module</v>
      </c>
      <c r="AW53" s="138" t="str">
        <f>IF(Configurator!$D$26&lt;"E"," ","With RTD and analogue module")</f>
        <v>With RTD and analogue module</v>
      </c>
      <c r="AX53" s="138" t="str">
        <f>IF(Configurator!$D$26&lt;"E"," ","With RTD and analogue module")</f>
        <v>With RTD and analogue module</v>
      </c>
      <c r="AY53" s="138" t="str">
        <f>IF(Configurator!$D$26&lt;"E"," ","With RTD and analogue module")</f>
        <v>With RTD and analogue module</v>
      </c>
      <c r="AZ53" s="138" t="str">
        <f>IF(Configurator!$D$26&lt;"E"," ","With RTD and analogue module")</f>
        <v>With RTD and analogue module</v>
      </c>
      <c r="BA53" s="138" t="str">
        <f>IF(Configurator!$D$26&lt;"E"," ","With RTD and analogue module")</f>
        <v>With RTD and analogue module</v>
      </c>
      <c r="BB53" s="134" t="s">
        <v>881</v>
      </c>
      <c r="BC53" s="134" t="s">
        <v>881</v>
      </c>
      <c r="BD53" s="134" t="s">
        <v>881</v>
      </c>
      <c r="BE53" s="134" t="s">
        <v>881</v>
      </c>
      <c r="BF53" s="134" t="s">
        <v>881</v>
      </c>
      <c r="BG53" s="134" t="s">
        <v>881</v>
      </c>
      <c r="BH53" s="134" t="s">
        <v>881</v>
      </c>
      <c r="BI53" s="134" t="s">
        <v>881</v>
      </c>
      <c r="BJ53" s="134" t="s">
        <v>881</v>
      </c>
      <c r="BK53" s="134" t="s">
        <v>881</v>
      </c>
      <c r="BL53" s="134" t="s">
        <v>881</v>
      </c>
      <c r="BM53" s="134" t="s">
        <v>881</v>
      </c>
      <c r="BN53" s="134" t="s">
        <v>881</v>
      </c>
      <c r="BO53" s="134" t="s">
        <v>881</v>
      </c>
      <c r="BP53" s="134" t="s">
        <v>881</v>
      </c>
      <c r="BQ53" s="134" t="s">
        <v>881</v>
      </c>
      <c r="BR53" s="134" t="s">
        <v>881</v>
      </c>
      <c r="BS53" s="134" t="s">
        <v>881</v>
      </c>
      <c r="BT53" s="134" t="s">
        <v>881</v>
      </c>
      <c r="BU53" s="134" t="s">
        <v>881</v>
      </c>
      <c r="BV53" s="134" t="s">
        <v>881</v>
      </c>
      <c r="BW53" s="134" t="s">
        <v>881</v>
      </c>
      <c r="BX53" s="134" t="s">
        <v>881</v>
      </c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</row>
    <row r="54" spans="1:105" ht="15">
      <c r="A54" s="137"/>
      <c r="B54" s="139" t="s">
        <v>1073</v>
      </c>
      <c r="C54" s="139" t="s">
        <v>1073</v>
      </c>
      <c r="D54" s="139" t="s">
        <v>1073</v>
      </c>
      <c r="E54" s="139" t="s">
        <v>1073</v>
      </c>
      <c r="F54" s="139" t="s">
        <v>1073</v>
      </c>
      <c r="G54" s="139" t="s">
        <v>1073</v>
      </c>
      <c r="H54" s="139" t="s">
        <v>1073</v>
      </c>
      <c r="I54" s="139" t="s">
        <v>1073</v>
      </c>
      <c r="J54" s="139" t="s">
        <v>1073</v>
      </c>
      <c r="K54" s="139" t="s">
        <v>1073</v>
      </c>
      <c r="L54" s="139" t="s">
        <v>1073</v>
      </c>
      <c r="M54" s="139" t="s">
        <v>1073</v>
      </c>
      <c r="N54" s="139" t="s">
        <v>1073</v>
      </c>
      <c r="O54" s="139" t="s">
        <v>1073</v>
      </c>
      <c r="P54" s="139" t="s">
        <v>1073</v>
      </c>
      <c r="Q54" s="139" t="s">
        <v>1073</v>
      </c>
      <c r="R54" s="139" t="s">
        <v>1073</v>
      </c>
      <c r="S54" s="139" t="s">
        <v>1073</v>
      </c>
      <c r="T54" s="139" t="s">
        <v>1073</v>
      </c>
      <c r="U54" s="139" t="s">
        <v>1073</v>
      </c>
      <c r="V54" s="139" t="s">
        <v>1073</v>
      </c>
      <c r="W54" s="138" t="str">
        <f>IF(Configurator!$D$26&lt;"E"," ","With RTD and binary module (add. 24 binary inputs)")</f>
        <v>With RTD and binary module (add. 24 binary inputs)</v>
      </c>
      <c r="X54" s="138" t="str">
        <f>IF(Configurator!$D$26&lt;"E"," ","With RTD and binary module (add. 24 binary inputs)")</f>
        <v>With RTD and binary module (add. 24 binary inputs)</v>
      </c>
      <c r="Y54" s="138" t="str">
        <f>IF(Configurator!$D$26&lt;"E"," ","With RTD and binary module (add. 24 binary inputs)")</f>
        <v>With RTD and binary module (add. 24 binary inputs)</v>
      </c>
      <c r="Z54" s="138" t="str">
        <f>IF(Configurator!$D$26&lt;"E"," ","With RTD and binary module (add. 24 binary inputs)")</f>
        <v>With RTD and binary module (add. 24 binary inputs)</v>
      </c>
      <c r="AA54" s="138" t="str">
        <f>IF(Configurator!$D$26&lt;"E"," ","With RTD and binary module (add. 24 binary inputs)")</f>
        <v>With RTD and binary module (add. 24 binary inputs)</v>
      </c>
      <c r="AB54" s="138" t="str">
        <f>IF(Configurator!$D$26&lt;"E"," ","With RTD and binary module (add. 24 binary inputs)")</f>
        <v>With RTD and binary module (add. 24 binary inputs)</v>
      </c>
      <c r="AC54" s="138" t="str">
        <f>IF(Configurator!$D$26&lt;"E"," ","With RTD and binary module (add. 24 binary inputs)")</f>
        <v>With RTD and binary module (add. 24 binary inputs)</v>
      </c>
      <c r="AD54" s="138" t="str">
        <f>IF(Configurator!$D$26&lt;"E"," ","With RTD and binary module (add. 24 binary inputs)")</f>
        <v>With RTD and binary module (add. 24 binary inputs)</v>
      </c>
      <c r="AE54" s="138" t="str">
        <f>IF(Configurator!$D$26&lt;"E"," ","With RTD and binary module (add. 24 binary inputs)")</f>
        <v>With RTD and binary module (add. 24 binary inputs)</v>
      </c>
      <c r="AF54" s="138" t="str">
        <f>IF(Configurator!$D$26&lt;"E"," ","With RTD and binary module (add. 24 binary inputs)")</f>
        <v>With RTD and binary module (add. 24 binary inputs)</v>
      </c>
      <c r="AG54" s="138" t="str">
        <f>IF(Configurator!$D$26&lt;"E"," ","With RTD and binary module (add. 24 binary inputs)")</f>
        <v>With RTD and binary module (add. 24 binary inputs)</v>
      </c>
      <c r="AH54" s="138" t="str">
        <f>IF(Configurator!$D$26&lt;"E"," ","With RTD and binary module (add. 24 binary inputs)")</f>
        <v>With RTD and binary module (add. 24 binary inputs)</v>
      </c>
      <c r="AI54" s="138" t="str">
        <f>IF(Configurator!$D$26&lt;"E"," ","With RTD and binary module (add. 24 binary inputs)")</f>
        <v>With RTD and binary module (add. 24 binary inputs)</v>
      </c>
      <c r="AJ54" s="138" t="str">
        <f>IF(Configurator!$D$26&lt;"E"," ","With RTD and binary module (add. 24 binary inputs)")</f>
        <v>With RTD and binary module (add. 24 binary inputs)</v>
      </c>
      <c r="AK54" s="138" t="str">
        <f>IF(Configurator!$D$26&lt;"E"," ","With RTD and binary module (add. 24 binary inputs)")</f>
        <v>With RTD and binary module (add. 24 binary inputs)</v>
      </c>
      <c r="AL54" s="138" t="str">
        <f>IF(Configurator!$D$26&lt;"E"," ","With RTD and binary module (add. 24 binary inputs)")</f>
        <v>With RTD and binary module (add. 24 binary inputs)</v>
      </c>
      <c r="AM54" s="138" t="str">
        <f>IF(Configurator!$D$26&lt;"E"," ","With RTD and binary module (add. 24 binary inputs)")</f>
        <v>With RTD and binary module (add. 24 binary inputs)</v>
      </c>
      <c r="AN54" s="138" t="str">
        <f>IF(Configurator!$D$26&lt;"E"," ","With RTD and binary module (add. 24 binary inputs)")</f>
        <v>With RTD and binary module (add. 24 binary inputs)</v>
      </c>
      <c r="AO54" s="138" t="str">
        <f>IF(Configurator!$D$26&lt;"E"," ","With RTD and binary module (add. 24 binary inputs)")</f>
        <v>With RTD and binary module (add. 24 binary inputs)</v>
      </c>
      <c r="AP54" s="138" t="str">
        <f>IF(Configurator!$D$26&lt;"E"," ","With RTD and binary module (add. 24 binary inputs)")</f>
        <v>With RTD and binary module (add. 24 binary inputs)</v>
      </c>
      <c r="AQ54" s="138" t="str">
        <f>IF(Configurator!$D$26&lt;"E"," ","With RTD and binary module (add. 24 binary inputs)")</f>
        <v>With RTD and binary module (add. 24 binary inputs)</v>
      </c>
      <c r="AR54" s="138" t="str">
        <f>IF(Configurator!$D$26&lt;"E"," ","With RTD and binary module (add. 24 binary inputs)")</f>
        <v>With RTD and binary module (add. 24 binary inputs)</v>
      </c>
      <c r="AS54" s="138" t="str">
        <f>IF(Configurator!$D$26&lt;"E"," ","With RTD and binary module (add. 24 binary inputs)")</f>
        <v>With RTD and binary module (add. 24 binary inputs)</v>
      </c>
      <c r="AT54" s="138" t="str">
        <f>IF(Configurator!$D$26&lt;"E"," ","With RTD and binary module (add. 24 binary inputs)")</f>
        <v>With RTD and binary module (add. 24 binary inputs)</v>
      </c>
      <c r="AU54" s="138" t="str">
        <f>IF(Configurator!$D$26&lt;"E"," ","With RTD and binary module (add. 24 binary inputs)")</f>
        <v>With RTD and binary module (add. 24 binary inputs)</v>
      </c>
      <c r="AV54" s="138" t="str">
        <f>IF(Configurator!$D$26&lt;"E"," ","With RTD and binary module (add. 24 binary inputs)")</f>
        <v>With RTD and binary module (add. 24 binary inputs)</v>
      </c>
      <c r="AW54" s="138" t="str">
        <f>IF(Configurator!$D$26&lt;"E"," ","With RTD and binary module (add. 24 binary inputs)")</f>
        <v>With RTD and binary module (add. 24 binary inputs)</v>
      </c>
      <c r="AX54" s="138" t="str">
        <f>IF(Configurator!$D$26&lt;"E"," ","With RTD and binary module (add. 24 binary inputs)")</f>
        <v>With RTD and binary module (add. 24 binary inputs)</v>
      </c>
      <c r="AY54" s="138" t="str">
        <f>IF(Configurator!$D$26&lt;"E"," ","With RTD and binary module (add. 24 binary inputs)")</f>
        <v>With RTD and binary module (add. 24 binary inputs)</v>
      </c>
      <c r="AZ54" s="138" t="str">
        <f>IF(Configurator!$D$26&lt;"E"," ","With RTD and binary module (add. 24 binary inputs)")</f>
        <v>With RTD and binary module (add. 24 binary inputs)</v>
      </c>
      <c r="BA54" s="138" t="str">
        <f>IF(Configurator!$D$26&lt;"E"," ","With RTD and binary module (add. 24 binary inputs)")</f>
        <v>With RTD and binary module (add. 24 binary inputs)</v>
      </c>
      <c r="BB54" s="134" t="s">
        <v>882</v>
      </c>
      <c r="BC54" s="134" t="s">
        <v>882</v>
      </c>
      <c r="BD54" s="134" t="s">
        <v>882</v>
      </c>
      <c r="BE54" s="134" t="s">
        <v>882</v>
      </c>
      <c r="BF54" s="134" t="s">
        <v>882</v>
      </c>
      <c r="BG54" s="134" t="s">
        <v>882</v>
      </c>
      <c r="BH54" s="134" t="s">
        <v>882</v>
      </c>
      <c r="BI54" s="134" t="s">
        <v>882</v>
      </c>
      <c r="BJ54" s="134" t="s">
        <v>882</v>
      </c>
      <c r="BK54" s="134" t="s">
        <v>882</v>
      </c>
      <c r="BL54" s="134" t="s">
        <v>882</v>
      </c>
      <c r="BM54" s="134" t="s">
        <v>882</v>
      </c>
      <c r="BN54" s="134" t="s">
        <v>882</v>
      </c>
      <c r="BO54" s="134" t="s">
        <v>882</v>
      </c>
      <c r="BP54" s="134" t="s">
        <v>882</v>
      </c>
      <c r="BQ54" s="134" t="s">
        <v>882</v>
      </c>
      <c r="BR54" s="134" t="s">
        <v>882</v>
      </c>
      <c r="BS54" s="134" t="s">
        <v>882</v>
      </c>
      <c r="BT54" s="134" t="s">
        <v>882</v>
      </c>
      <c r="BU54" s="134" t="s">
        <v>882</v>
      </c>
      <c r="BV54" s="134" t="s">
        <v>882</v>
      </c>
      <c r="BW54" s="134" t="s">
        <v>882</v>
      </c>
      <c r="BX54" s="134" t="s">
        <v>882</v>
      </c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</row>
    <row r="55" spans="1:105" ht="15">
      <c r="A55" s="135" t="s">
        <v>1076</v>
      </c>
      <c r="B55" s="136" t="s">
        <v>1073</v>
      </c>
      <c r="C55" s="136" t="s">
        <v>1073</v>
      </c>
      <c r="D55" s="136" t="s">
        <v>1073</v>
      </c>
      <c r="E55" s="136" t="s">
        <v>1073</v>
      </c>
      <c r="F55" s="136" t="s">
        <v>1073</v>
      </c>
      <c r="G55" s="136" t="s">
        <v>1073</v>
      </c>
      <c r="H55" s="136" t="s">
        <v>1073</v>
      </c>
      <c r="I55" s="136" t="s">
        <v>1073</v>
      </c>
      <c r="J55" s="136" t="s">
        <v>1073</v>
      </c>
      <c r="K55" s="136" t="s">
        <v>1073</v>
      </c>
      <c r="L55" s="136" t="s">
        <v>1073</v>
      </c>
      <c r="M55" s="136" t="s">
        <v>1073</v>
      </c>
      <c r="N55" s="136" t="s">
        <v>1073</v>
      </c>
      <c r="O55" s="136" t="s">
        <v>1073</v>
      </c>
      <c r="P55" s="136" t="s">
        <v>1073</v>
      </c>
      <c r="Q55" s="136" t="s">
        <v>1073</v>
      </c>
      <c r="R55" s="136" t="s">
        <v>1073</v>
      </c>
      <c r="S55" s="136" t="s">
        <v>1073</v>
      </c>
      <c r="T55" s="136" t="s">
        <v>1073</v>
      </c>
      <c r="U55" s="136" t="s">
        <v>1073</v>
      </c>
      <c r="V55" s="136" t="s">
        <v>1073</v>
      </c>
      <c r="W55" s="136" t="s">
        <v>1073</v>
      </c>
      <c r="X55" s="136" t="s">
        <v>1073</v>
      </c>
      <c r="Y55" s="136" t="s">
        <v>1073</v>
      </c>
      <c r="Z55" s="136" t="s">
        <v>1073</v>
      </c>
      <c r="AA55" s="136" t="s">
        <v>1073</v>
      </c>
      <c r="AB55" s="136" t="s">
        <v>1073</v>
      </c>
      <c r="AC55" s="136" t="s">
        <v>1073</v>
      </c>
      <c r="AD55" s="136" t="s">
        <v>1073</v>
      </c>
      <c r="AE55" s="136" t="s">
        <v>1073</v>
      </c>
      <c r="AF55" s="136" t="s">
        <v>1073</v>
      </c>
      <c r="AG55" s="136" t="s">
        <v>1073</v>
      </c>
      <c r="AH55" s="136" t="s">
        <v>1073</v>
      </c>
      <c r="AI55" s="136" t="s">
        <v>1073</v>
      </c>
      <c r="AJ55" s="136" t="s">
        <v>1073</v>
      </c>
      <c r="AK55" s="136" t="s">
        <v>1073</v>
      </c>
      <c r="AL55" s="136" t="s">
        <v>1073</v>
      </c>
      <c r="AM55" s="136" t="s">
        <v>1073</v>
      </c>
      <c r="AN55" s="136" t="s">
        <v>1073</v>
      </c>
      <c r="AO55" s="136" t="s">
        <v>1073</v>
      </c>
      <c r="AP55" s="136" t="s">
        <v>1073</v>
      </c>
      <c r="AQ55" s="136" t="s">
        <v>1073</v>
      </c>
      <c r="AR55" s="136" t="s">
        <v>1073</v>
      </c>
      <c r="AS55" s="136" t="s">
        <v>1073</v>
      </c>
      <c r="AT55" s="136" t="s">
        <v>1073</v>
      </c>
      <c r="AU55" s="136" t="s">
        <v>1073</v>
      </c>
      <c r="AV55" s="136" t="s">
        <v>1073</v>
      </c>
      <c r="AW55" s="136" t="s">
        <v>1073</v>
      </c>
      <c r="AX55" s="136" t="s">
        <v>1073</v>
      </c>
      <c r="AY55" s="136" t="s">
        <v>1073</v>
      </c>
      <c r="AZ55" s="136" t="s">
        <v>1073</v>
      </c>
      <c r="BA55" s="136" t="s">
        <v>1073</v>
      </c>
      <c r="BB55" s="136" t="s">
        <v>1073</v>
      </c>
      <c r="BC55" s="136" t="s">
        <v>1073</v>
      </c>
      <c r="BD55" s="136" t="s">
        <v>1073</v>
      </c>
      <c r="BE55" s="136" t="s">
        <v>1073</v>
      </c>
      <c r="BF55" s="136" t="s">
        <v>1073</v>
      </c>
      <c r="BG55" s="136" t="s">
        <v>1073</v>
      </c>
      <c r="BH55" s="136" t="s">
        <v>1073</v>
      </c>
      <c r="BI55" s="136" t="s">
        <v>1073</v>
      </c>
      <c r="BJ55" s="136" t="s">
        <v>1073</v>
      </c>
      <c r="BK55" s="136" t="s">
        <v>1073</v>
      </c>
      <c r="BL55" s="136" t="s">
        <v>1073</v>
      </c>
      <c r="BM55" s="136" t="s">
        <v>1073</v>
      </c>
      <c r="BN55" s="136" t="s">
        <v>1073</v>
      </c>
      <c r="BO55" s="136" t="s">
        <v>1073</v>
      </c>
      <c r="BP55" s="136" t="s">
        <v>1073</v>
      </c>
      <c r="BQ55" s="136" t="s">
        <v>1073</v>
      </c>
      <c r="BR55" s="136" t="s">
        <v>1073</v>
      </c>
      <c r="BS55" s="136" t="s">
        <v>1073</v>
      </c>
      <c r="BT55" s="136" t="s">
        <v>1073</v>
      </c>
      <c r="BU55" s="136" t="s">
        <v>1073</v>
      </c>
      <c r="BV55" s="136" t="s">
        <v>1073</v>
      </c>
      <c r="BW55" s="136" t="s">
        <v>1073</v>
      </c>
      <c r="BX55" s="136" t="s">
        <v>1073</v>
      </c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129" t="s">
        <v>1073</v>
      </c>
      <c r="CJ55" s="129" t="s">
        <v>1073</v>
      </c>
      <c r="CK55" s="129" t="s">
        <v>1073</v>
      </c>
      <c r="CL55" s="129" t="s">
        <v>1073</v>
      </c>
      <c r="CM55" s="129" t="s">
        <v>1073</v>
      </c>
      <c r="CN55" s="129" t="s">
        <v>1073</v>
      </c>
      <c r="CO55" s="129" t="s">
        <v>1073</v>
      </c>
      <c r="CP55" s="129" t="s">
        <v>1073</v>
      </c>
      <c r="CQ55" s="129" t="s">
        <v>1073</v>
      </c>
      <c r="CR55" s="129" t="s">
        <v>1073</v>
      </c>
      <c r="CS55" s="129" t="s">
        <v>1073</v>
      </c>
      <c r="CT55" s="129" t="s">
        <v>1073</v>
      </c>
      <c r="CU55" s="129" t="s">
        <v>1073</v>
      </c>
      <c r="CV55" s="129" t="s">
        <v>1073</v>
      </c>
      <c r="CW55" s="129" t="s">
        <v>1073</v>
      </c>
      <c r="CX55" s="129" t="s">
        <v>1073</v>
      </c>
      <c r="CY55" s="129" t="s">
        <v>1073</v>
      </c>
      <c r="CZ55" s="129" t="s">
        <v>1073</v>
      </c>
      <c r="DA55" s="129" t="s">
        <v>1073</v>
      </c>
    </row>
    <row r="56" spans="1:105" ht="14.25">
      <c r="A56" s="133" t="s">
        <v>1073</v>
      </c>
      <c r="B56" s="134" t="s">
        <v>1085</v>
      </c>
      <c r="C56" s="134" t="s">
        <v>1085</v>
      </c>
      <c r="D56" s="134" t="s">
        <v>1085</v>
      </c>
      <c r="E56" s="134" t="s">
        <v>1085</v>
      </c>
      <c r="F56" s="134" t="s">
        <v>1085</v>
      </c>
      <c r="G56" s="134" t="s">
        <v>1085</v>
      </c>
      <c r="H56" s="134" t="s">
        <v>1085</v>
      </c>
      <c r="I56" s="134" t="s">
        <v>1085</v>
      </c>
      <c r="J56" s="134" t="s">
        <v>1085</v>
      </c>
      <c r="K56" s="134" t="s">
        <v>1085</v>
      </c>
      <c r="L56" s="134" t="s">
        <v>1085</v>
      </c>
      <c r="M56" s="134" t="s">
        <v>1085</v>
      </c>
      <c r="N56" s="134" t="s">
        <v>1085</v>
      </c>
      <c r="O56" s="134" t="s">
        <v>1085</v>
      </c>
      <c r="P56" s="134" t="s">
        <v>1085</v>
      </c>
      <c r="Q56" s="134" t="s">
        <v>1085</v>
      </c>
      <c r="R56" s="134" t="s">
        <v>1085</v>
      </c>
      <c r="S56" s="134" t="s">
        <v>1085</v>
      </c>
      <c r="T56" s="134" t="s">
        <v>1085</v>
      </c>
      <c r="U56" s="134" t="s">
        <v>1085</v>
      </c>
      <c r="V56" s="134" t="s">
        <v>1085</v>
      </c>
      <c r="W56" s="134" t="s">
        <v>1085</v>
      </c>
      <c r="X56" s="134" t="s">
        <v>1085</v>
      </c>
      <c r="Y56" s="134" t="s">
        <v>1085</v>
      </c>
      <c r="Z56" s="134" t="s">
        <v>1085</v>
      </c>
      <c r="AA56" s="134" t="s">
        <v>1085</v>
      </c>
      <c r="AB56" s="134" t="s">
        <v>1085</v>
      </c>
      <c r="AC56" s="134" t="s">
        <v>1085</v>
      </c>
      <c r="AD56" s="134" t="s">
        <v>1085</v>
      </c>
      <c r="AE56" s="134" t="s">
        <v>1085</v>
      </c>
      <c r="AF56" s="134" t="s">
        <v>1085</v>
      </c>
      <c r="AG56" s="134" t="s">
        <v>1085</v>
      </c>
      <c r="AH56" s="134" t="s">
        <v>1085</v>
      </c>
      <c r="AI56" s="134" t="s">
        <v>1085</v>
      </c>
      <c r="AJ56" s="134" t="s">
        <v>1085</v>
      </c>
      <c r="AK56" s="134" t="s">
        <v>1085</v>
      </c>
      <c r="AL56" s="134" t="s">
        <v>1085</v>
      </c>
      <c r="AM56" s="134" t="s">
        <v>1085</v>
      </c>
      <c r="AN56" s="134" t="s">
        <v>1085</v>
      </c>
      <c r="AO56" s="134" t="s">
        <v>1085</v>
      </c>
      <c r="AP56" s="134" t="s">
        <v>1085</v>
      </c>
      <c r="AQ56" s="134" t="s">
        <v>1085</v>
      </c>
      <c r="AR56" s="134" t="s">
        <v>1085</v>
      </c>
      <c r="AS56" s="134" t="s">
        <v>1085</v>
      </c>
      <c r="AT56" s="134" t="s">
        <v>1085</v>
      </c>
      <c r="AU56" s="134" t="s">
        <v>1085</v>
      </c>
      <c r="AV56" s="134" t="s">
        <v>1085</v>
      </c>
      <c r="AW56" s="134" t="s">
        <v>1085</v>
      </c>
      <c r="AX56" s="134" t="s">
        <v>1085</v>
      </c>
      <c r="AY56" s="134" t="s">
        <v>1085</v>
      </c>
      <c r="AZ56" s="134" t="s">
        <v>1085</v>
      </c>
      <c r="BA56" s="134" t="s">
        <v>1085</v>
      </c>
      <c r="BB56" s="134" t="s">
        <v>1085</v>
      </c>
      <c r="BC56" s="134" t="s">
        <v>1085</v>
      </c>
      <c r="BD56" s="134" t="s">
        <v>1085</v>
      </c>
      <c r="BE56" s="134" t="s">
        <v>1085</v>
      </c>
      <c r="BF56" s="134" t="s">
        <v>1085</v>
      </c>
      <c r="BG56" s="134" t="s">
        <v>1085</v>
      </c>
      <c r="BH56" s="134" t="s">
        <v>1085</v>
      </c>
      <c r="BI56" s="134" t="s">
        <v>1085</v>
      </c>
      <c r="BJ56" s="134" t="s">
        <v>1085</v>
      </c>
      <c r="BK56" s="134" t="s">
        <v>1085</v>
      </c>
      <c r="BL56" s="134" t="s">
        <v>1085</v>
      </c>
      <c r="BM56" s="134" t="s">
        <v>1085</v>
      </c>
      <c r="BN56" s="134" t="s">
        <v>1085</v>
      </c>
      <c r="BO56" s="134" t="s">
        <v>1085</v>
      </c>
      <c r="BP56" s="134" t="s">
        <v>1085</v>
      </c>
      <c r="BQ56" s="134" t="s">
        <v>1085</v>
      </c>
      <c r="BR56" s="134" t="s">
        <v>1085</v>
      </c>
      <c r="BS56" s="134" t="s">
        <v>1085</v>
      </c>
      <c r="BT56" s="134" t="s">
        <v>1085</v>
      </c>
      <c r="BU56" s="134" t="s">
        <v>1085</v>
      </c>
      <c r="BV56" s="134" t="s">
        <v>1085</v>
      </c>
      <c r="BW56" s="134" t="s">
        <v>1085</v>
      </c>
      <c r="BX56" s="134" t="s">
        <v>1085</v>
      </c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29" t="s">
        <v>1073</v>
      </c>
      <c r="CJ56" s="129" t="s">
        <v>1073</v>
      </c>
      <c r="CK56" s="129" t="s">
        <v>1073</v>
      </c>
      <c r="CL56" s="129" t="s">
        <v>1073</v>
      </c>
      <c r="CM56" s="129" t="s">
        <v>1073</v>
      </c>
      <c r="CN56" s="129" t="s">
        <v>1073</v>
      </c>
      <c r="CO56" s="129" t="s">
        <v>1073</v>
      </c>
      <c r="CP56" s="129" t="s">
        <v>1073</v>
      </c>
      <c r="CQ56" s="129" t="s">
        <v>1073</v>
      </c>
      <c r="CR56" s="129" t="s">
        <v>1073</v>
      </c>
      <c r="CS56" s="129" t="s">
        <v>1073</v>
      </c>
      <c r="CT56" s="129" t="s">
        <v>1073</v>
      </c>
      <c r="CU56" s="129" t="s">
        <v>1073</v>
      </c>
      <c r="CV56" s="129" t="s">
        <v>1073</v>
      </c>
      <c r="CW56" s="129" t="s">
        <v>1073</v>
      </c>
      <c r="CX56" s="129" t="s">
        <v>1073</v>
      </c>
      <c r="CY56" s="129" t="s">
        <v>1073</v>
      </c>
      <c r="CZ56" s="129" t="s">
        <v>1073</v>
      </c>
      <c r="DA56" s="129" t="s">
        <v>1073</v>
      </c>
    </row>
    <row r="57" spans="1:105" ht="42.75">
      <c r="A57" s="133" t="s">
        <v>1073</v>
      </c>
      <c r="B57" s="134" t="s">
        <v>753</v>
      </c>
      <c r="C57" s="134" t="s">
        <v>753</v>
      </c>
      <c r="D57" s="134" t="s">
        <v>753</v>
      </c>
      <c r="E57" s="134" t="s">
        <v>753</v>
      </c>
      <c r="F57" s="134" t="s">
        <v>753</v>
      </c>
      <c r="G57" s="134" t="s">
        <v>753</v>
      </c>
      <c r="H57" s="134" t="s">
        <v>753</v>
      </c>
      <c r="I57" s="134" t="s">
        <v>753</v>
      </c>
      <c r="J57" s="134" t="s">
        <v>753</v>
      </c>
      <c r="K57" s="134" t="s">
        <v>753</v>
      </c>
      <c r="L57" s="134" t="s">
        <v>753</v>
      </c>
      <c r="M57" s="134" t="s">
        <v>753</v>
      </c>
      <c r="N57" s="134" t="s">
        <v>753</v>
      </c>
      <c r="O57" s="134" t="s">
        <v>753</v>
      </c>
      <c r="P57" s="134" t="s">
        <v>753</v>
      </c>
      <c r="Q57" s="134" t="s">
        <v>753</v>
      </c>
      <c r="R57" s="134" t="s">
        <v>753</v>
      </c>
      <c r="S57" s="134" t="s">
        <v>753</v>
      </c>
      <c r="T57" s="134" t="s">
        <v>753</v>
      </c>
      <c r="U57" s="134" t="s">
        <v>753</v>
      </c>
      <c r="V57" s="134" t="s">
        <v>753</v>
      </c>
      <c r="W57" s="134" t="s">
        <v>753</v>
      </c>
      <c r="X57" s="134" t="s">
        <v>753</v>
      </c>
      <c r="Y57" s="134" t="s">
        <v>753</v>
      </c>
      <c r="Z57" s="134" t="s">
        <v>753</v>
      </c>
      <c r="AA57" s="134" t="s">
        <v>753</v>
      </c>
      <c r="AB57" s="134" t="s">
        <v>753</v>
      </c>
      <c r="AC57" s="134" t="s">
        <v>753</v>
      </c>
      <c r="AD57" s="134" t="s">
        <v>753</v>
      </c>
      <c r="AE57" s="134" t="s">
        <v>753</v>
      </c>
      <c r="AF57" s="134" t="s">
        <v>753</v>
      </c>
      <c r="AG57" s="134" t="s">
        <v>753</v>
      </c>
      <c r="AH57" s="134" t="s">
        <v>753</v>
      </c>
      <c r="AI57" s="134" t="s">
        <v>753</v>
      </c>
      <c r="AJ57" s="134" t="s">
        <v>753</v>
      </c>
      <c r="AK57" s="134" t="s">
        <v>753</v>
      </c>
      <c r="AL57" s="134" t="s">
        <v>753</v>
      </c>
      <c r="AM57" s="134" t="s">
        <v>753</v>
      </c>
      <c r="AN57" s="215" t="s">
        <v>773</v>
      </c>
      <c r="AO57" s="215" t="s">
        <v>773</v>
      </c>
      <c r="AP57" s="215" t="s">
        <v>773</v>
      </c>
      <c r="AQ57" s="215" t="s">
        <v>773</v>
      </c>
      <c r="AR57" s="215" t="s">
        <v>773</v>
      </c>
      <c r="AS57" s="215" t="s">
        <v>773</v>
      </c>
      <c r="AT57" s="215" t="s">
        <v>773</v>
      </c>
      <c r="AU57" s="215" t="s">
        <v>773</v>
      </c>
      <c r="AV57" s="215" t="s">
        <v>773</v>
      </c>
      <c r="AW57" s="215" t="s">
        <v>773</v>
      </c>
      <c r="AX57" s="215" t="s">
        <v>773</v>
      </c>
      <c r="AY57" s="215" t="s">
        <v>773</v>
      </c>
      <c r="AZ57" s="215" t="s">
        <v>773</v>
      </c>
      <c r="BA57" s="215" t="s">
        <v>773</v>
      </c>
      <c r="BB57" s="215" t="s">
        <v>773</v>
      </c>
      <c r="BC57" s="215" t="s">
        <v>773</v>
      </c>
      <c r="BD57" s="215" t="s">
        <v>773</v>
      </c>
      <c r="BE57" s="215" t="s">
        <v>773</v>
      </c>
      <c r="BF57" s="215" t="s">
        <v>773</v>
      </c>
      <c r="BG57" s="215" t="s">
        <v>773</v>
      </c>
      <c r="BH57" s="215" t="s">
        <v>773</v>
      </c>
      <c r="BI57" s="215" t="s">
        <v>773</v>
      </c>
      <c r="BJ57" s="215" t="s">
        <v>773</v>
      </c>
      <c r="BK57" s="215" t="s">
        <v>773</v>
      </c>
      <c r="BL57" s="215" t="s">
        <v>773</v>
      </c>
      <c r="BM57" s="215" t="s">
        <v>773</v>
      </c>
      <c r="BN57" s="215" t="s">
        <v>773</v>
      </c>
      <c r="BO57" s="215" t="s">
        <v>773</v>
      </c>
      <c r="BP57" s="215" t="s">
        <v>773</v>
      </c>
      <c r="BQ57" s="215" t="s">
        <v>773</v>
      </c>
      <c r="BR57" s="215" t="s">
        <v>773</v>
      </c>
      <c r="BS57" s="215" t="s">
        <v>773</v>
      </c>
      <c r="BT57" s="215" t="s">
        <v>773</v>
      </c>
      <c r="BU57" s="215" t="s">
        <v>773</v>
      </c>
      <c r="BV57" s="215" t="s">
        <v>773</v>
      </c>
      <c r="BW57" s="215" t="s">
        <v>773</v>
      </c>
      <c r="BX57" s="215" t="s">
        <v>773</v>
      </c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129" t="s">
        <v>1073</v>
      </c>
      <c r="CJ57" s="129" t="s">
        <v>1073</v>
      </c>
      <c r="CK57" s="129" t="s">
        <v>1073</v>
      </c>
      <c r="CL57" s="129" t="s">
        <v>1073</v>
      </c>
      <c r="CM57" s="129" t="s">
        <v>1073</v>
      </c>
      <c r="CN57" s="129" t="s">
        <v>1073</v>
      </c>
      <c r="CO57" s="129" t="s">
        <v>1073</v>
      </c>
      <c r="CP57" s="129" t="s">
        <v>1073</v>
      </c>
      <c r="CQ57" s="129" t="s">
        <v>1073</v>
      </c>
      <c r="CR57" s="129" t="s">
        <v>1073</v>
      </c>
      <c r="CS57" s="129" t="s">
        <v>1073</v>
      </c>
      <c r="CT57" s="129" t="s">
        <v>1073</v>
      </c>
      <c r="CU57" s="129" t="s">
        <v>1073</v>
      </c>
      <c r="CV57" s="129" t="s">
        <v>1073</v>
      </c>
      <c r="CW57" s="129" t="s">
        <v>1073</v>
      </c>
      <c r="CX57" s="129" t="s">
        <v>1073</v>
      </c>
      <c r="CY57" s="129" t="s">
        <v>1073</v>
      </c>
      <c r="CZ57" s="129" t="s">
        <v>1073</v>
      </c>
      <c r="DA57" s="129" t="s">
        <v>1073</v>
      </c>
    </row>
    <row r="58" spans="1:105" ht="14.25">
      <c r="A58" s="133" t="s">
        <v>1073</v>
      </c>
      <c r="B58" s="136" t="s">
        <v>1073</v>
      </c>
      <c r="C58" s="218" t="s">
        <v>1073</v>
      </c>
      <c r="D58" s="136" t="s">
        <v>1073</v>
      </c>
      <c r="E58" s="136" t="s">
        <v>1073</v>
      </c>
      <c r="F58" s="136" t="s">
        <v>1073</v>
      </c>
      <c r="G58" s="136" t="s">
        <v>1073</v>
      </c>
      <c r="H58" s="136" t="s">
        <v>1073</v>
      </c>
      <c r="I58" s="136" t="s">
        <v>1073</v>
      </c>
      <c r="J58" s="136" t="s">
        <v>1073</v>
      </c>
      <c r="K58" s="136" t="s">
        <v>1073</v>
      </c>
      <c r="L58" s="136" t="s">
        <v>1073</v>
      </c>
      <c r="M58" s="136" t="s">
        <v>1073</v>
      </c>
      <c r="N58" s="136" t="s">
        <v>1073</v>
      </c>
      <c r="O58" s="136" t="s">
        <v>1073</v>
      </c>
      <c r="P58" s="136" t="s">
        <v>1073</v>
      </c>
      <c r="Q58" s="136" t="s">
        <v>1073</v>
      </c>
      <c r="R58" s="136" t="s">
        <v>1073</v>
      </c>
      <c r="S58" s="136" t="s">
        <v>1073</v>
      </c>
      <c r="T58" s="136" t="s">
        <v>1073</v>
      </c>
      <c r="U58" s="136" t="s">
        <v>1073</v>
      </c>
      <c r="V58" s="136" t="s">
        <v>1073</v>
      </c>
      <c r="W58" s="136" t="s">
        <v>1073</v>
      </c>
      <c r="X58" s="136" t="s">
        <v>1073</v>
      </c>
      <c r="Y58" s="136" t="s">
        <v>1073</v>
      </c>
      <c r="Z58" s="136" t="s">
        <v>1073</v>
      </c>
      <c r="AA58" s="136" t="s">
        <v>1073</v>
      </c>
      <c r="AB58" s="136" t="s">
        <v>1073</v>
      </c>
      <c r="AC58" s="136" t="s">
        <v>1073</v>
      </c>
      <c r="AD58" s="136" t="s">
        <v>1073</v>
      </c>
      <c r="AE58" s="136" t="s">
        <v>1073</v>
      </c>
      <c r="AF58" s="136" t="s">
        <v>1073</v>
      </c>
      <c r="AG58" s="134" t="s">
        <v>994</v>
      </c>
      <c r="AH58" s="136" t="s">
        <v>1073</v>
      </c>
      <c r="AI58" s="136" t="s">
        <v>1073</v>
      </c>
      <c r="AJ58" s="136" t="s">
        <v>1073</v>
      </c>
      <c r="AK58" s="136" t="s">
        <v>1073</v>
      </c>
      <c r="AL58" s="136" t="s">
        <v>1073</v>
      </c>
      <c r="AM58" s="136" t="s">
        <v>1073</v>
      </c>
      <c r="AN58" s="136" t="s">
        <v>1073</v>
      </c>
      <c r="AO58" s="136" t="s">
        <v>1073</v>
      </c>
      <c r="AP58" s="231" t="s">
        <v>463</v>
      </c>
      <c r="AQ58" s="134" t="s">
        <v>722</v>
      </c>
      <c r="AR58" s="134" t="s">
        <v>722</v>
      </c>
      <c r="AS58" s="138" t="str">
        <f>IF(OR(Configurator!$T$5="*",Configurator!$T$5="5"),"IEC61850 : Not yet available in Px40 English, Polish or Russian","Protocol IEC61850")</f>
        <v>IEC61850 : Not yet available in Px40 English, Polish or Russian</v>
      </c>
      <c r="AT58" s="138" t="str">
        <f>IF(OR(Configurator!$T$5="*",Configurator!$T$5="5"),"IEC61850 : Not yet available in Px40 English, Polish or Russian","Protocol IEC61850")</f>
        <v>IEC61850 : Not yet available in Px40 English, Polish or Russian</v>
      </c>
      <c r="AU58" s="138" t="str">
        <f>IF(OR(Configurator!$T$5="*",Configurator!$T$5="5"),"IEC61850 : Not yet available in Px40 English, Polish or Russian","Protocol IEC61850")</f>
        <v>IEC61850 : Not yet available in Px40 English, Polish or Russian</v>
      </c>
      <c r="AV58" s="138" t="str">
        <f>IF(OR(Configurator!$T$5="*",Configurator!$T$5="5"),"IEC61850 : Not yet available in Px40 English, Polish or Russian","Protocol IEC61850 - Withdrawn please use version 613-716 SW or later version")</f>
        <v>IEC61850 : Not yet available in Px40 English, Polish or Russian</v>
      </c>
      <c r="AW58" s="138" t="str">
        <f>IF(OR(Configurator!$T$5="*",Configurator!$T$5="5"),"IEC61850 : Not yet available in Px40 English, Polish or Russian","Protocol IEC61850")</f>
        <v>IEC61850 : Not yet available in Px40 English, Polish or Russian</v>
      </c>
      <c r="AX58" s="138" t="str">
        <f>IF(OR(Configurator!$T$5="*",Configurator!$T$5="5"),"IEC61850 : Not yet available in Px40 English, Polish or Russian","Protocol IEC61850")</f>
        <v>IEC61850 : Not yet available in Px40 English, Polish or Russian</v>
      </c>
      <c r="AY58" s="138" t="str">
        <f>IF(OR(Configurator!$T$5="*",Configurator!$T$5="5"),"IEC61850 : Not yet available in Px40 English, Polish or Russian","Protocol IEC61850")</f>
        <v>IEC61850 : Not yet available in Px40 English, Polish or Russian</v>
      </c>
      <c r="AZ58" s="138" t="str">
        <f>IF(OR(Configurator!$T$5="*",Configurator!$T$5="5"),"IEC61850 : Not yet available in Px40 English, Polish or Russian","Protocol IEC61850")</f>
        <v>IEC61850 : Not yet available in Px40 English, Polish or Russian</v>
      </c>
      <c r="BA58" s="138" t="str">
        <f>IF(OR(Configurator!$T$5="*",Configurator!$T$5="5"),"IEC61850 : Not yet available in Px40 English, Polish or Russian","Protocol IEC61850")</f>
        <v>IEC61850 : Not yet available in Px40 English, Polish or Russian</v>
      </c>
      <c r="BB58" s="134" t="s">
        <v>994</v>
      </c>
      <c r="BC58" s="134" t="s">
        <v>994</v>
      </c>
      <c r="BD58" s="134" t="s">
        <v>994</v>
      </c>
      <c r="BE58" s="134" t="s">
        <v>994</v>
      </c>
      <c r="BF58" s="134" t="s">
        <v>994</v>
      </c>
      <c r="BG58" s="134" t="s">
        <v>994</v>
      </c>
      <c r="BH58" s="134" t="s">
        <v>994</v>
      </c>
      <c r="BI58" s="134" t="s">
        <v>994</v>
      </c>
      <c r="BJ58" s="134" t="s">
        <v>994</v>
      </c>
      <c r="BK58" s="134" t="s">
        <v>994</v>
      </c>
      <c r="BL58" s="134" t="s">
        <v>994</v>
      </c>
      <c r="BM58" s="134" t="s">
        <v>994</v>
      </c>
      <c r="BN58" s="134" t="s">
        <v>994</v>
      </c>
      <c r="BO58" s="134" t="s">
        <v>994</v>
      </c>
      <c r="BP58" s="134" t="s">
        <v>994</v>
      </c>
      <c r="BQ58" s="134" t="s">
        <v>994</v>
      </c>
      <c r="BR58" s="134" t="s">
        <v>994</v>
      </c>
      <c r="BS58" s="134" t="s">
        <v>994</v>
      </c>
      <c r="BT58" s="134" t="s">
        <v>994</v>
      </c>
      <c r="BU58" s="134" t="s">
        <v>994</v>
      </c>
      <c r="BV58" s="134" t="s">
        <v>994</v>
      </c>
      <c r="BW58" s="134" t="s">
        <v>994</v>
      </c>
      <c r="BX58" s="134" t="s">
        <v>994</v>
      </c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29" t="s">
        <v>1073</v>
      </c>
      <c r="CJ58" s="129" t="s">
        <v>1073</v>
      </c>
      <c r="CK58" s="129" t="s">
        <v>1073</v>
      </c>
      <c r="CL58" s="129" t="s">
        <v>1073</v>
      </c>
      <c r="CM58" s="129" t="s">
        <v>1073</v>
      </c>
      <c r="CN58" s="129" t="s">
        <v>1073</v>
      </c>
      <c r="CO58" s="129" t="s">
        <v>1073</v>
      </c>
      <c r="CP58" s="129" t="s">
        <v>1073</v>
      </c>
      <c r="CQ58" s="129" t="s">
        <v>1073</v>
      </c>
      <c r="CR58" s="129" t="s">
        <v>1073</v>
      </c>
      <c r="CS58" s="129" t="s">
        <v>1073</v>
      </c>
      <c r="CT58" s="129" t="s">
        <v>1073</v>
      </c>
      <c r="CU58" s="129" t="s">
        <v>1073</v>
      </c>
      <c r="CV58" s="129" t="s">
        <v>1073</v>
      </c>
      <c r="CW58" s="129" t="s">
        <v>1073</v>
      </c>
      <c r="CX58" s="129" t="s">
        <v>1073</v>
      </c>
      <c r="CY58" s="129" t="s">
        <v>1073</v>
      </c>
      <c r="CZ58" s="129" t="s">
        <v>1073</v>
      </c>
      <c r="DA58" s="129" t="s">
        <v>1073</v>
      </c>
    </row>
    <row r="59" spans="1:105" ht="15">
      <c r="A59" s="135" t="s">
        <v>1077</v>
      </c>
      <c r="B59" s="136" t="s">
        <v>1073</v>
      </c>
      <c r="C59" s="136" t="s">
        <v>1073</v>
      </c>
      <c r="D59" s="136" t="s">
        <v>1073</v>
      </c>
      <c r="E59" s="136" t="s">
        <v>1073</v>
      </c>
      <c r="F59" s="136" t="s">
        <v>1073</v>
      </c>
      <c r="G59" s="136" t="s">
        <v>1073</v>
      </c>
      <c r="H59" s="136" t="s">
        <v>1073</v>
      </c>
      <c r="I59" s="136" t="s">
        <v>1073</v>
      </c>
      <c r="J59" s="136" t="s">
        <v>1073</v>
      </c>
      <c r="K59" s="136" t="s">
        <v>1073</v>
      </c>
      <c r="L59" s="136" t="s">
        <v>1073</v>
      </c>
      <c r="M59" s="136" t="s">
        <v>1073</v>
      </c>
      <c r="N59" s="136" t="s">
        <v>1073</v>
      </c>
      <c r="O59" s="136" t="s">
        <v>1073</v>
      </c>
      <c r="P59" s="136" t="s">
        <v>1073</v>
      </c>
      <c r="Q59" s="136" t="s">
        <v>1073</v>
      </c>
      <c r="R59" s="136" t="s">
        <v>1073</v>
      </c>
      <c r="S59" s="136" t="s">
        <v>1073</v>
      </c>
      <c r="T59" s="136" t="s">
        <v>1073</v>
      </c>
      <c r="U59" s="136" t="s">
        <v>1073</v>
      </c>
      <c r="V59" s="136" t="s">
        <v>1073</v>
      </c>
      <c r="W59" s="136" t="s">
        <v>1073</v>
      </c>
      <c r="X59" s="136" t="s">
        <v>1073</v>
      </c>
      <c r="Y59" s="136" t="s">
        <v>1073</v>
      </c>
      <c r="Z59" s="136" t="s">
        <v>1073</v>
      </c>
      <c r="AA59" s="136" t="s">
        <v>1073</v>
      </c>
      <c r="AB59" s="136" t="s">
        <v>1073</v>
      </c>
      <c r="AC59" s="136" t="s">
        <v>1073</v>
      </c>
      <c r="AD59" s="136" t="s">
        <v>1073</v>
      </c>
      <c r="AE59" s="136" t="s">
        <v>1073</v>
      </c>
      <c r="AF59" s="136" t="s">
        <v>1073</v>
      </c>
      <c r="AG59" s="136" t="s">
        <v>1073</v>
      </c>
      <c r="AH59" s="136" t="s">
        <v>1073</v>
      </c>
      <c r="AI59" s="136" t="s">
        <v>1073</v>
      </c>
      <c r="AJ59" s="136" t="s">
        <v>1073</v>
      </c>
      <c r="AK59" s="136" t="s">
        <v>1073</v>
      </c>
      <c r="AL59" s="136" t="s">
        <v>1073</v>
      </c>
      <c r="AM59" s="136" t="s">
        <v>1073</v>
      </c>
      <c r="AN59" s="136" t="s">
        <v>1073</v>
      </c>
      <c r="AO59" s="136" t="s">
        <v>1073</v>
      </c>
      <c r="AP59" s="136" t="s">
        <v>1073</v>
      </c>
      <c r="AQ59" s="136" t="s">
        <v>1073</v>
      </c>
      <c r="AR59" s="136" t="s">
        <v>1073</v>
      </c>
      <c r="AS59" s="136" t="s">
        <v>1073</v>
      </c>
      <c r="AT59" s="136" t="s">
        <v>1073</v>
      </c>
      <c r="AU59" s="136" t="s">
        <v>1073</v>
      </c>
      <c r="AV59" s="136" t="s">
        <v>1073</v>
      </c>
      <c r="AW59" s="136" t="s">
        <v>1073</v>
      </c>
      <c r="AX59" s="136" t="s">
        <v>1073</v>
      </c>
      <c r="AY59" s="136" t="s">
        <v>1073</v>
      </c>
      <c r="AZ59" s="136" t="s">
        <v>1073</v>
      </c>
      <c r="BA59" s="136" t="s">
        <v>1073</v>
      </c>
      <c r="BB59" s="136" t="s">
        <v>1073</v>
      </c>
      <c r="BC59" s="136" t="s">
        <v>1073</v>
      </c>
      <c r="BD59" s="136" t="s">
        <v>1073</v>
      </c>
      <c r="BE59" s="136" t="s">
        <v>1073</v>
      </c>
      <c r="BF59" s="136" t="s">
        <v>1073</v>
      </c>
      <c r="BG59" s="136" t="s">
        <v>1073</v>
      </c>
      <c r="BH59" s="136" t="s">
        <v>1073</v>
      </c>
      <c r="BI59" s="136" t="s">
        <v>1073</v>
      </c>
      <c r="BJ59" s="136" t="s">
        <v>1073</v>
      </c>
      <c r="BK59" s="136" t="s">
        <v>1073</v>
      </c>
      <c r="BL59" s="136" t="s">
        <v>1073</v>
      </c>
      <c r="BM59" s="136" t="s">
        <v>1073</v>
      </c>
      <c r="BN59" s="136" t="s">
        <v>1073</v>
      </c>
      <c r="BO59" s="136" t="s">
        <v>1073</v>
      </c>
      <c r="BP59" s="136" t="s">
        <v>1073</v>
      </c>
      <c r="BQ59" s="136" t="s">
        <v>1073</v>
      </c>
      <c r="BR59" s="136" t="s">
        <v>1073</v>
      </c>
      <c r="BS59" s="136" t="s">
        <v>1073</v>
      </c>
      <c r="BT59" s="136" t="s">
        <v>1073</v>
      </c>
      <c r="BU59" s="136" t="s">
        <v>1073</v>
      </c>
      <c r="BV59" s="136" t="s">
        <v>1073</v>
      </c>
      <c r="BW59" s="136" t="s">
        <v>1073</v>
      </c>
      <c r="BX59" s="136" t="s">
        <v>1073</v>
      </c>
      <c r="BY59" s="277"/>
      <c r="BZ59" s="277"/>
      <c r="CA59" s="277"/>
      <c r="CB59" s="277"/>
      <c r="CC59" s="277"/>
      <c r="CD59" s="277"/>
      <c r="CE59" s="277"/>
      <c r="CF59" s="277"/>
      <c r="CG59" s="277"/>
      <c r="CH59" s="277"/>
      <c r="CI59" s="129" t="s">
        <v>1073</v>
      </c>
      <c r="CJ59" s="129" t="s">
        <v>1073</v>
      </c>
      <c r="CK59" s="129" t="s">
        <v>1073</v>
      </c>
      <c r="CL59" s="129" t="s">
        <v>1073</v>
      </c>
      <c r="CM59" s="129" t="s">
        <v>1073</v>
      </c>
      <c r="CN59" s="129" t="s">
        <v>1073</v>
      </c>
      <c r="CO59" s="129" t="s">
        <v>1073</v>
      </c>
      <c r="CP59" s="129" t="s">
        <v>1073</v>
      </c>
      <c r="CQ59" s="129" t="s">
        <v>1073</v>
      </c>
      <c r="CR59" s="129" t="s">
        <v>1073</v>
      </c>
      <c r="CS59" s="129" t="s">
        <v>1073</v>
      </c>
      <c r="CT59" s="129" t="s">
        <v>1073</v>
      </c>
      <c r="CU59" s="129" t="s">
        <v>1073</v>
      </c>
      <c r="CV59" s="129" t="s">
        <v>1073</v>
      </c>
      <c r="CW59" s="129" t="s">
        <v>1073</v>
      </c>
      <c r="CX59" s="129" t="s">
        <v>1073</v>
      </c>
      <c r="CY59" s="129" t="s">
        <v>1073</v>
      </c>
      <c r="CZ59" s="129" t="s">
        <v>1073</v>
      </c>
      <c r="DA59" s="129" t="s">
        <v>1073</v>
      </c>
    </row>
    <row r="60" spans="1:105" ht="15">
      <c r="A60" s="137" t="s">
        <v>1073</v>
      </c>
      <c r="B60" s="134">
        <v>1</v>
      </c>
      <c r="C60" s="134">
        <v>1</v>
      </c>
      <c r="D60" s="134">
        <v>1</v>
      </c>
      <c r="E60" s="134">
        <v>1</v>
      </c>
      <c r="F60" s="134">
        <v>1</v>
      </c>
      <c r="G60" s="134">
        <v>1</v>
      </c>
      <c r="H60" s="134">
        <v>1</v>
      </c>
      <c r="I60" s="134">
        <v>1</v>
      </c>
      <c r="J60" s="134">
        <v>1</v>
      </c>
      <c r="K60" s="134">
        <v>1</v>
      </c>
      <c r="L60" s="134">
        <v>1</v>
      </c>
      <c r="M60" s="134">
        <v>1</v>
      </c>
      <c r="N60" s="134">
        <v>1</v>
      </c>
      <c r="O60" s="134">
        <v>1</v>
      </c>
      <c r="P60" s="134">
        <v>1</v>
      </c>
      <c r="Q60" s="134">
        <v>1</v>
      </c>
      <c r="R60" s="134">
        <v>1</v>
      </c>
      <c r="S60" s="134">
        <v>1</v>
      </c>
      <c r="T60" s="134">
        <v>1</v>
      </c>
      <c r="U60" s="134">
        <v>1</v>
      </c>
      <c r="V60" s="134">
        <v>1</v>
      </c>
      <c r="W60" s="134">
        <v>1</v>
      </c>
      <c r="X60" s="134">
        <v>1</v>
      </c>
      <c r="Y60" s="134">
        <v>1</v>
      </c>
      <c r="Z60" s="134">
        <v>1</v>
      </c>
      <c r="AA60" s="134">
        <v>1</v>
      </c>
      <c r="AB60" s="134">
        <v>1</v>
      </c>
      <c r="AC60" s="134">
        <v>1</v>
      </c>
      <c r="AD60" s="134">
        <v>1</v>
      </c>
      <c r="AE60" s="134">
        <v>1</v>
      </c>
      <c r="AF60" s="134">
        <v>1</v>
      </c>
      <c r="AG60" s="134">
        <v>1</v>
      </c>
      <c r="AH60" s="134">
        <v>1</v>
      </c>
      <c r="AI60" s="134">
        <v>1</v>
      </c>
      <c r="AJ60" s="134">
        <v>1</v>
      </c>
      <c r="AK60" s="134">
        <v>1</v>
      </c>
      <c r="AL60" s="134">
        <v>1</v>
      </c>
      <c r="AM60" s="134">
        <v>1</v>
      </c>
      <c r="AN60" s="134">
        <v>1</v>
      </c>
      <c r="AO60" s="134">
        <v>1</v>
      </c>
      <c r="AP60" s="134">
        <v>1</v>
      </c>
      <c r="AQ60" s="134">
        <v>1</v>
      </c>
      <c r="AR60" s="134">
        <v>1</v>
      </c>
      <c r="AS60" s="134">
        <v>1</v>
      </c>
      <c r="AT60" s="134">
        <v>1</v>
      </c>
      <c r="AU60" s="134">
        <v>1</v>
      </c>
      <c r="AV60" s="134">
        <v>1</v>
      </c>
      <c r="AW60" s="134">
        <v>1</v>
      </c>
      <c r="AX60" s="134">
        <v>1</v>
      </c>
      <c r="AY60" s="134">
        <v>1</v>
      </c>
      <c r="AZ60" s="134">
        <v>1</v>
      </c>
      <c r="BA60" s="134">
        <v>1</v>
      </c>
      <c r="BB60" s="134">
        <v>1</v>
      </c>
      <c r="BC60" s="134">
        <v>1</v>
      </c>
      <c r="BD60" s="134">
        <v>1</v>
      </c>
      <c r="BE60" s="134">
        <v>1</v>
      </c>
      <c r="BF60" s="134">
        <v>1</v>
      </c>
      <c r="BG60" s="134">
        <v>1</v>
      </c>
      <c r="BH60" s="134">
        <v>1</v>
      </c>
      <c r="BI60" s="134">
        <v>1</v>
      </c>
      <c r="BJ60" s="134">
        <v>1</v>
      </c>
      <c r="BK60" s="134">
        <v>1</v>
      </c>
      <c r="BL60" s="134">
        <v>1</v>
      </c>
      <c r="BM60" s="134">
        <v>1</v>
      </c>
      <c r="BN60" s="134">
        <v>1</v>
      </c>
      <c r="BO60" s="134">
        <v>1</v>
      </c>
      <c r="BP60" s="134">
        <v>1</v>
      </c>
      <c r="BQ60" s="134">
        <v>1</v>
      </c>
      <c r="BR60" s="134">
        <v>1</v>
      </c>
      <c r="BS60" s="134">
        <v>1</v>
      </c>
      <c r="BT60" s="134">
        <v>1</v>
      </c>
      <c r="BU60" s="134">
        <v>1</v>
      </c>
      <c r="BV60" s="134">
        <v>1</v>
      </c>
      <c r="BW60" s="134">
        <v>1</v>
      </c>
      <c r="BX60" s="134">
        <v>1</v>
      </c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29" t="s">
        <v>1073</v>
      </c>
      <c r="CJ60" s="129" t="s">
        <v>1073</v>
      </c>
      <c r="CK60" s="129" t="s">
        <v>1073</v>
      </c>
      <c r="CL60" s="129" t="s">
        <v>1073</v>
      </c>
      <c r="CM60" s="129" t="s">
        <v>1073</v>
      </c>
      <c r="CN60" s="129" t="s">
        <v>1073</v>
      </c>
      <c r="CO60" s="129" t="s">
        <v>1073</v>
      </c>
      <c r="CP60" s="129" t="s">
        <v>1073</v>
      </c>
      <c r="CQ60" s="129" t="s">
        <v>1073</v>
      </c>
      <c r="CR60" s="129" t="s">
        <v>1073</v>
      </c>
      <c r="CS60" s="129" t="s">
        <v>1073</v>
      </c>
      <c r="CT60" s="129" t="s">
        <v>1073</v>
      </c>
      <c r="CU60" s="129" t="s">
        <v>1073</v>
      </c>
      <c r="CV60" s="129" t="s">
        <v>1073</v>
      </c>
      <c r="CW60" s="129" t="s">
        <v>1073</v>
      </c>
      <c r="CX60" s="129" t="s">
        <v>1073</v>
      </c>
      <c r="CY60" s="129" t="s">
        <v>1073</v>
      </c>
      <c r="CZ60" s="129" t="s">
        <v>1073</v>
      </c>
      <c r="DA60" s="129" t="s">
        <v>1073</v>
      </c>
    </row>
    <row r="61" spans="1:105" ht="15">
      <c r="A61" s="137" t="s">
        <v>1073</v>
      </c>
      <c r="B61" s="136" t="s">
        <v>1073</v>
      </c>
      <c r="C61" s="136" t="s">
        <v>1073</v>
      </c>
      <c r="D61" s="136" t="s">
        <v>1073</v>
      </c>
      <c r="E61" s="136" t="s">
        <v>1073</v>
      </c>
      <c r="F61" s="136" t="s">
        <v>1073</v>
      </c>
      <c r="G61" s="136" t="s">
        <v>1073</v>
      </c>
      <c r="H61" s="136" t="s">
        <v>1073</v>
      </c>
      <c r="I61" s="136" t="s">
        <v>1073</v>
      </c>
      <c r="J61" s="136" t="s">
        <v>1073</v>
      </c>
      <c r="K61" s="136" t="s">
        <v>1073</v>
      </c>
      <c r="L61" s="136" t="s">
        <v>1073</v>
      </c>
      <c r="M61" s="136" t="s">
        <v>1073</v>
      </c>
      <c r="N61" s="136" t="s">
        <v>1073</v>
      </c>
      <c r="O61" s="136" t="s">
        <v>1073</v>
      </c>
      <c r="P61" s="136" t="s">
        <v>1073</v>
      </c>
      <c r="Q61" s="136" t="s">
        <v>1073</v>
      </c>
      <c r="R61" s="136" t="s">
        <v>1073</v>
      </c>
      <c r="S61" s="136" t="s">
        <v>1073</v>
      </c>
      <c r="T61" s="136" t="s">
        <v>1073</v>
      </c>
      <c r="U61" s="136" t="s">
        <v>1073</v>
      </c>
      <c r="V61" s="136" t="s">
        <v>1073</v>
      </c>
      <c r="W61" s="136" t="s">
        <v>1073</v>
      </c>
      <c r="X61" s="136" t="s">
        <v>1073</v>
      </c>
      <c r="Y61" s="136" t="s">
        <v>1073</v>
      </c>
      <c r="Z61" s="136" t="s">
        <v>1073</v>
      </c>
      <c r="AA61" s="136" t="s">
        <v>1073</v>
      </c>
      <c r="AB61" s="136" t="s">
        <v>1073</v>
      </c>
      <c r="AC61" s="136" t="s">
        <v>1073</v>
      </c>
      <c r="AD61" s="136" t="s">
        <v>1073</v>
      </c>
      <c r="AE61" s="136" t="s">
        <v>1073</v>
      </c>
      <c r="AF61" s="136" t="s">
        <v>1073</v>
      </c>
      <c r="AG61" s="136" t="s">
        <v>1073</v>
      </c>
      <c r="AH61" s="136" t="s">
        <v>1073</v>
      </c>
      <c r="AI61" s="136" t="s">
        <v>1073</v>
      </c>
      <c r="AJ61" s="136" t="s">
        <v>1073</v>
      </c>
      <c r="AK61" s="136" t="s">
        <v>1073</v>
      </c>
      <c r="AL61" s="136" t="s">
        <v>1073</v>
      </c>
      <c r="AM61" s="136" t="s">
        <v>1073</v>
      </c>
      <c r="AN61" s="136" t="s">
        <v>1073</v>
      </c>
      <c r="AO61" s="136" t="s">
        <v>1073</v>
      </c>
      <c r="AP61" s="136" t="s">
        <v>1073</v>
      </c>
      <c r="AQ61" s="136" t="s">
        <v>1073</v>
      </c>
      <c r="AR61" s="136" t="s">
        <v>1073</v>
      </c>
      <c r="AS61" s="136" t="s">
        <v>1073</v>
      </c>
      <c r="AT61" s="136" t="s">
        <v>1073</v>
      </c>
      <c r="AU61" s="136" t="s">
        <v>1073</v>
      </c>
      <c r="AV61" s="136" t="s">
        <v>1073</v>
      </c>
      <c r="AW61" s="136" t="s">
        <v>1073</v>
      </c>
      <c r="AX61" s="136" t="s">
        <v>1073</v>
      </c>
      <c r="AY61" s="136" t="s">
        <v>1073</v>
      </c>
      <c r="AZ61" s="136" t="s">
        <v>1073</v>
      </c>
      <c r="BA61" s="136" t="s">
        <v>1073</v>
      </c>
      <c r="BB61" s="136" t="s">
        <v>1073</v>
      </c>
      <c r="BC61" s="136" t="s">
        <v>1073</v>
      </c>
      <c r="BD61" s="136" t="s">
        <v>1073</v>
      </c>
      <c r="BE61" s="136" t="s">
        <v>1073</v>
      </c>
      <c r="BF61" s="136" t="s">
        <v>1073</v>
      </c>
      <c r="BG61" s="136" t="s">
        <v>1073</v>
      </c>
      <c r="BH61" s="136" t="s">
        <v>1073</v>
      </c>
      <c r="BI61" s="136" t="s">
        <v>1073</v>
      </c>
      <c r="BJ61" s="136" t="s">
        <v>1073</v>
      </c>
      <c r="BK61" s="136" t="s">
        <v>1073</v>
      </c>
      <c r="BL61" s="136" t="s">
        <v>1073</v>
      </c>
      <c r="BM61" s="136" t="s">
        <v>1073</v>
      </c>
      <c r="BN61" s="136" t="s">
        <v>1073</v>
      </c>
      <c r="BO61" s="136" t="s">
        <v>1073</v>
      </c>
      <c r="BP61" s="136" t="s">
        <v>1073</v>
      </c>
      <c r="BQ61" s="136" t="s">
        <v>1073</v>
      </c>
      <c r="BR61" s="136" t="s">
        <v>1073</v>
      </c>
      <c r="BS61" s="136" t="s">
        <v>1073</v>
      </c>
      <c r="BT61" s="136" t="s">
        <v>1073</v>
      </c>
      <c r="BU61" s="136" t="s">
        <v>1073</v>
      </c>
      <c r="BV61" s="136" t="s">
        <v>1073</v>
      </c>
      <c r="BW61" s="136" t="s">
        <v>1073</v>
      </c>
      <c r="BX61" s="136" t="s">
        <v>1073</v>
      </c>
      <c r="BY61" s="277"/>
      <c r="BZ61" s="277"/>
      <c r="CA61" s="277"/>
      <c r="CB61" s="277"/>
      <c r="CC61" s="277"/>
      <c r="CD61" s="277"/>
      <c r="CE61" s="277"/>
      <c r="CF61" s="277"/>
      <c r="CG61" s="277"/>
      <c r="CH61" s="277"/>
      <c r="CI61" s="129" t="s">
        <v>1073</v>
      </c>
      <c r="CJ61" s="129" t="s">
        <v>1073</v>
      </c>
      <c r="CK61" s="129" t="s">
        <v>1073</v>
      </c>
      <c r="CL61" s="129" t="s">
        <v>1073</v>
      </c>
      <c r="CM61" s="129" t="s">
        <v>1073</v>
      </c>
      <c r="CN61" s="129" t="s">
        <v>1073</v>
      </c>
      <c r="CO61" s="129" t="s">
        <v>1073</v>
      </c>
      <c r="CP61" s="129" t="s">
        <v>1073</v>
      </c>
      <c r="CQ61" s="129" t="s">
        <v>1073</v>
      </c>
      <c r="CR61" s="129" t="s">
        <v>1073</v>
      </c>
      <c r="CS61" s="129" t="s">
        <v>1073</v>
      </c>
      <c r="CT61" s="129" t="s">
        <v>1073</v>
      </c>
      <c r="CU61" s="129" t="s">
        <v>1073</v>
      </c>
      <c r="CV61" s="129" t="s">
        <v>1073</v>
      </c>
      <c r="CW61" s="129" t="s">
        <v>1073</v>
      </c>
      <c r="CX61" s="129" t="s">
        <v>1073</v>
      </c>
      <c r="CY61" s="129" t="s">
        <v>1073</v>
      </c>
      <c r="CZ61" s="129" t="s">
        <v>1073</v>
      </c>
      <c r="DA61" s="129" t="s">
        <v>1073</v>
      </c>
    </row>
    <row r="62" spans="1:105" ht="15">
      <c r="A62" s="137" t="s">
        <v>1073</v>
      </c>
      <c r="B62" s="136" t="s">
        <v>1073</v>
      </c>
      <c r="C62" s="136" t="s">
        <v>1073</v>
      </c>
      <c r="D62" s="136" t="s">
        <v>1073</v>
      </c>
      <c r="E62" s="136" t="s">
        <v>1073</v>
      </c>
      <c r="F62" s="136" t="s">
        <v>1073</v>
      </c>
      <c r="G62" s="136" t="s">
        <v>1073</v>
      </c>
      <c r="H62" s="136" t="s">
        <v>1073</v>
      </c>
      <c r="I62" s="136" t="s">
        <v>1073</v>
      </c>
      <c r="J62" s="136" t="s">
        <v>1073</v>
      </c>
      <c r="K62" s="136" t="s">
        <v>1073</v>
      </c>
      <c r="L62" s="136" t="s">
        <v>1073</v>
      </c>
      <c r="M62" s="136" t="s">
        <v>1073</v>
      </c>
      <c r="N62" s="136" t="s">
        <v>1073</v>
      </c>
      <c r="O62" s="136" t="s">
        <v>1073</v>
      </c>
      <c r="P62" s="136" t="s">
        <v>1073</v>
      </c>
      <c r="Q62" s="136" t="s">
        <v>1073</v>
      </c>
      <c r="R62" s="136" t="s">
        <v>1073</v>
      </c>
      <c r="S62" s="136" t="s">
        <v>1073</v>
      </c>
      <c r="T62" s="136" t="s">
        <v>1073</v>
      </c>
      <c r="U62" s="136" t="s">
        <v>1073</v>
      </c>
      <c r="V62" s="136" t="s">
        <v>1073</v>
      </c>
      <c r="W62" s="136" t="s">
        <v>1073</v>
      </c>
      <c r="X62" s="136" t="s">
        <v>1073</v>
      </c>
      <c r="Y62" s="136" t="s">
        <v>1073</v>
      </c>
      <c r="Z62" s="136" t="s">
        <v>1073</v>
      </c>
      <c r="AA62" s="136" t="s">
        <v>1073</v>
      </c>
      <c r="AB62" s="136" t="s">
        <v>1073</v>
      </c>
      <c r="AC62" s="136" t="s">
        <v>1073</v>
      </c>
      <c r="AD62" s="136" t="s">
        <v>1073</v>
      </c>
      <c r="AE62" s="136" t="s">
        <v>1073</v>
      </c>
      <c r="AF62" s="136" t="s">
        <v>1073</v>
      </c>
      <c r="AG62" s="136" t="s">
        <v>1073</v>
      </c>
      <c r="AH62" s="136" t="s">
        <v>1073</v>
      </c>
      <c r="AI62" s="136" t="s">
        <v>1073</v>
      </c>
      <c r="AJ62" s="136" t="s">
        <v>1073</v>
      </c>
      <c r="AK62" s="136" t="s">
        <v>1073</v>
      </c>
      <c r="AL62" s="136" t="s">
        <v>1073</v>
      </c>
      <c r="AM62" s="136" t="s">
        <v>1073</v>
      </c>
      <c r="AN62" s="136" t="s">
        <v>1073</v>
      </c>
      <c r="AO62" s="136" t="s">
        <v>1073</v>
      </c>
      <c r="AP62" s="136" t="s">
        <v>1073</v>
      </c>
      <c r="AQ62" s="136" t="s">
        <v>1073</v>
      </c>
      <c r="AR62" s="136" t="s">
        <v>1073</v>
      </c>
      <c r="AS62" s="136" t="s">
        <v>1073</v>
      </c>
      <c r="AT62" s="136" t="s">
        <v>1073</v>
      </c>
      <c r="AU62" s="136" t="s">
        <v>1073</v>
      </c>
      <c r="AV62" s="136" t="s">
        <v>1073</v>
      </c>
      <c r="AW62" s="136" t="s">
        <v>1073</v>
      </c>
      <c r="AX62" s="136" t="s">
        <v>1073</v>
      </c>
      <c r="AY62" s="136" t="s">
        <v>1073</v>
      </c>
      <c r="AZ62" s="136" t="s">
        <v>1073</v>
      </c>
      <c r="BA62" s="136" t="s">
        <v>1073</v>
      </c>
      <c r="BB62" s="136" t="s">
        <v>1073</v>
      </c>
      <c r="BC62" s="136" t="s">
        <v>1073</v>
      </c>
      <c r="BD62" s="136" t="s">
        <v>1073</v>
      </c>
      <c r="BE62" s="136" t="s">
        <v>1073</v>
      </c>
      <c r="BF62" s="136" t="s">
        <v>1073</v>
      </c>
      <c r="BG62" s="136" t="s">
        <v>1073</v>
      </c>
      <c r="BH62" s="136" t="s">
        <v>1073</v>
      </c>
      <c r="BI62" s="136" t="s">
        <v>1073</v>
      </c>
      <c r="BJ62" s="136" t="s">
        <v>1073</v>
      </c>
      <c r="BK62" s="136" t="s">
        <v>1073</v>
      </c>
      <c r="BL62" s="136" t="s">
        <v>1073</v>
      </c>
      <c r="BM62" s="136" t="s">
        <v>1073</v>
      </c>
      <c r="BN62" s="136" t="s">
        <v>1073</v>
      </c>
      <c r="BO62" s="136" t="s">
        <v>1073</v>
      </c>
      <c r="BP62" s="136" t="s">
        <v>1073</v>
      </c>
      <c r="BQ62" s="136" t="s">
        <v>1073</v>
      </c>
      <c r="BR62" s="136" t="s">
        <v>1073</v>
      </c>
      <c r="BS62" s="136" t="s">
        <v>1073</v>
      </c>
      <c r="BT62" s="136" t="s">
        <v>1073</v>
      </c>
      <c r="BU62" s="136" t="s">
        <v>1073</v>
      </c>
      <c r="BV62" s="136" t="s">
        <v>1073</v>
      </c>
      <c r="BW62" s="136" t="s">
        <v>1073</v>
      </c>
      <c r="BX62" s="136" t="s">
        <v>1073</v>
      </c>
      <c r="BY62" s="277"/>
      <c r="BZ62" s="277"/>
      <c r="CA62" s="277"/>
      <c r="CB62" s="277"/>
      <c r="CC62" s="277"/>
      <c r="CD62" s="277"/>
      <c r="CE62" s="277"/>
      <c r="CF62" s="277"/>
      <c r="CG62" s="277"/>
      <c r="CH62" s="277"/>
      <c r="CI62" s="129" t="s">
        <v>1073</v>
      </c>
      <c r="CJ62" s="129" t="s">
        <v>1073</v>
      </c>
      <c r="CK62" s="129" t="s">
        <v>1073</v>
      </c>
      <c r="CL62" s="129" t="s">
        <v>1073</v>
      </c>
      <c r="CM62" s="129" t="s">
        <v>1073</v>
      </c>
      <c r="CN62" s="129" t="s">
        <v>1073</v>
      </c>
      <c r="CO62" s="129" t="s">
        <v>1073</v>
      </c>
      <c r="CP62" s="129" t="s">
        <v>1073</v>
      </c>
      <c r="CQ62" s="129" t="s">
        <v>1073</v>
      </c>
      <c r="CR62" s="129" t="s">
        <v>1073</v>
      </c>
      <c r="CS62" s="129" t="s">
        <v>1073</v>
      </c>
      <c r="CT62" s="129" t="s">
        <v>1073</v>
      </c>
      <c r="CU62" s="129" t="s">
        <v>1073</v>
      </c>
      <c r="CV62" s="129" t="s">
        <v>1073</v>
      </c>
      <c r="CW62" s="129" t="s">
        <v>1073</v>
      </c>
      <c r="CX62" s="129" t="s">
        <v>1073</v>
      </c>
      <c r="CY62" s="129" t="s">
        <v>1073</v>
      </c>
      <c r="CZ62" s="129" t="s">
        <v>1073</v>
      </c>
      <c r="DA62" s="129" t="s">
        <v>1073</v>
      </c>
    </row>
    <row r="63" spans="1:105" ht="15">
      <c r="A63" s="137" t="s">
        <v>1073</v>
      </c>
      <c r="B63" s="136" t="s">
        <v>1073</v>
      </c>
      <c r="C63" s="136" t="s">
        <v>1073</v>
      </c>
      <c r="D63" s="136" t="s">
        <v>1073</v>
      </c>
      <c r="E63" s="136" t="s">
        <v>1073</v>
      </c>
      <c r="F63" s="136" t="s">
        <v>1073</v>
      </c>
      <c r="G63" s="136" t="s">
        <v>1073</v>
      </c>
      <c r="H63" s="136" t="s">
        <v>1073</v>
      </c>
      <c r="I63" s="136" t="s">
        <v>1073</v>
      </c>
      <c r="J63" s="136" t="s">
        <v>1073</v>
      </c>
      <c r="K63" s="136" t="s">
        <v>1073</v>
      </c>
      <c r="L63" s="136" t="s">
        <v>1073</v>
      </c>
      <c r="M63" s="136" t="s">
        <v>1073</v>
      </c>
      <c r="N63" s="136" t="s">
        <v>1073</v>
      </c>
      <c r="O63" s="136" t="s">
        <v>1073</v>
      </c>
      <c r="P63" s="136" t="s">
        <v>1073</v>
      </c>
      <c r="Q63" s="136" t="s">
        <v>1073</v>
      </c>
      <c r="R63" s="136" t="s">
        <v>1073</v>
      </c>
      <c r="S63" s="136" t="s">
        <v>1073</v>
      </c>
      <c r="T63" s="136" t="s">
        <v>1073</v>
      </c>
      <c r="U63" s="136" t="s">
        <v>1073</v>
      </c>
      <c r="V63" s="136" t="s">
        <v>1073</v>
      </c>
      <c r="W63" s="136" t="s">
        <v>1073</v>
      </c>
      <c r="X63" s="136" t="s">
        <v>1073</v>
      </c>
      <c r="Y63" s="136" t="s">
        <v>1073</v>
      </c>
      <c r="Z63" s="136" t="s">
        <v>1073</v>
      </c>
      <c r="AA63" s="136" t="s">
        <v>1073</v>
      </c>
      <c r="AB63" s="136" t="s">
        <v>1073</v>
      </c>
      <c r="AC63" s="136" t="s">
        <v>1073</v>
      </c>
      <c r="AD63" s="136" t="s">
        <v>1073</v>
      </c>
      <c r="AE63" s="136" t="s">
        <v>1073</v>
      </c>
      <c r="AF63" s="136" t="s">
        <v>1073</v>
      </c>
      <c r="AG63" s="136" t="s">
        <v>1073</v>
      </c>
      <c r="AH63" s="136" t="s">
        <v>1073</v>
      </c>
      <c r="AI63" s="136" t="s">
        <v>1073</v>
      </c>
      <c r="AJ63" s="136" t="s">
        <v>1073</v>
      </c>
      <c r="AK63" s="136" t="s">
        <v>1073</v>
      </c>
      <c r="AL63" s="136" t="s">
        <v>1073</v>
      </c>
      <c r="AM63" s="136" t="s">
        <v>1073</v>
      </c>
      <c r="AN63" s="136" t="s">
        <v>1073</v>
      </c>
      <c r="AO63" s="136" t="s">
        <v>1073</v>
      </c>
      <c r="AP63" s="136" t="s">
        <v>1073</v>
      </c>
      <c r="AQ63" s="136" t="s">
        <v>1073</v>
      </c>
      <c r="AR63" s="136" t="s">
        <v>1073</v>
      </c>
      <c r="AS63" s="136" t="s">
        <v>1073</v>
      </c>
      <c r="AT63" s="136" t="s">
        <v>1073</v>
      </c>
      <c r="AU63" s="136" t="s">
        <v>1073</v>
      </c>
      <c r="AV63" s="136" t="s">
        <v>1073</v>
      </c>
      <c r="AW63" s="136" t="s">
        <v>1073</v>
      </c>
      <c r="AX63" s="136" t="s">
        <v>1073</v>
      </c>
      <c r="AY63" s="136" t="s">
        <v>1073</v>
      </c>
      <c r="AZ63" s="136" t="s">
        <v>1073</v>
      </c>
      <c r="BA63" s="136" t="s">
        <v>1073</v>
      </c>
      <c r="BB63" s="136" t="s">
        <v>1073</v>
      </c>
      <c r="BC63" s="136" t="s">
        <v>1073</v>
      </c>
      <c r="BD63" s="136" t="s">
        <v>1073</v>
      </c>
      <c r="BE63" s="136" t="s">
        <v>1073</v>
      </c>
      <c r="BF63" s="136" t="s">
        <v>1073</v>
      </c>
      <c r="BG63" s="136" t="s">
        <v>1073</v>
      </c>
      <c r="BH63" s="136" t="s">
        <v>1073</v>
      </c>
      <c r="BI63" s="136" t="s">
        <v>1073</v>
      </c>
      <c r="BJ63" s="136" t="s">
        <v>1073</v>
      </c>
      <c r="BK63" s="136" t="s">
        <v>1073</v>
      </c>
      <c r="BL63" s="136" t="s">
        <v>1073</v>
      </c>
      <c r="BM63" s="136" t="s">
        <v>1073</v>
      </c>
      <c r="BN63" s="136" t="s">
        <v>1073</v>
      </c>
      <c r="BO63" s="136" t="s">
        <v>1073</v>
      </c>
      <c r="BP63" s="136" t="s">
        <v>1073</v>
      </c>
      <c r="BQ63" s="136" t="s">
        <v>1073</v>
      </c>
      <c r="BR63" s="136" t="s">
        <v>1073</v>
      </c>
      <c r="BS63" s="136" t="s">
        <v>1073</v>
      </c>
      <c r="BT63" s="136" t="s">
        <v>1073</v>
      </c>
      <c r="BU63" s="136" t="s">
        <v>1073</v>
      </c>
      <c r="BV63" s="136" t="s">
        <v>1073</v>
      </c>
      <c r="BW63" s="136" t="s">
        <v>1073</v>
      </c>
      <c r="BX63" s="136" t="s">
        <v>1073</v>
      </c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129" t="s">
        <v>1073</v>
      </c>
      <c r="CJ63" s="129" t="s">
        <v>1073</v>
      </c>
      <c r="CK63" s="129" t="s">
        <v>1073</v>
      </c>
      <c r="CL63" s="129" t="s">
        <v>1073</v>
      </c>
      <c r="CM63" s="129" t="s">
        <v>1073</v>
      </c>
      <c r="CN63" s="129" t="s">
        <v>1073</v>
      </c>
      <c r="CO63" s="129" t="s">
        <v>1073</v>
      </c>
      <c r="CP63" s="129" t="s">
        <v>1073</v>
      </c>
      <c r="CQ63" s="129" t="s">
        <v>1073</v>
      </c>
      <c r="CR63" s="129" t="s">
        <v>1073</v>
      </c>
      <c r="CS63" s="129" t="s">
        <v>1073</v>
      </c>
      <c r="CT63" s="129" t="s">
        <v>1073</v>
      </c>
      <c r="CU63" s="129" t="s">
        <v>1073</v>
      </c>
      <c r="CV63" s="129" t="s">
        <v>1073</v>
      </c>
      <c r="CW63" s="129" t="s">
        <v>1073</v>
      </c>
      <c r="CX63" s="129" t="s">
        <v>1073</v>
      </c>
      <c r="CY63" s="129" t="s">
        <v>1073</v>
      </c>
      <c r="CZ63" s="129" t="s">
        <v>1073</v>
      </c>
      <c r="DA63" s="129" t="s">
        <v>1073</v>
      </c>
    </row>
    <row r="64" spans="1:105" ht="14.25">
      <c r="A64" s="133"/>
      <c r="B64" s="134">
        <v>2</v>
      </c>
      <c r="C64" s="134">
        <v>2</v>
      </c>
      <c r="D64" s="134">
        <v>2</v>
      </c>
      <c r="E64" s="134">
        <v>2</v>
      </c>
      <c r="F64" s="134">
        <v>2</v>
      </c>
      <c r="G64" s="134">
        <v>2</v>
      </c>
      <c r="H64" s="134">
        <v>2</v>
      </c>
      <c r="I64" s="134">
        <v>2</v>
      </c>
      <c r="J64" s="134">
        <v>2</v>
      </c>
      <c r="K64" s="134">
        <v>2</v>
      </c>
      <c r="L64" s="134">
        <v>2</v>
      </c>
      <c r="M64" s="134">
        <v>2</v>
      </c>
      <c r="N64" s="134">
        <v>2</v>
      </c>
      <c r="O64" s="134">
        <v>2</v>
      </c>
      <c r="P64" s="134">
        <v>2</v>
      </c>
      <c r="Q64" s="134">
        <v>2</v>
      </c>
      <c r="R64" s="134">
        <v>2</v>
      </c>
      <c r="S64" s="134">
        <v>2</v>
      </c>
      <c r="T64" s="134">
        <v>2</v>
      </c>
      <c r="U64" s="134">
        <v>2</v>
      </c>
      <c r="V64" s="134">
        <v>2</v>
      </c>
      <c r="W64" s="134">
        <v>2</v>
      </c>
      <c r="X64" s="134">
        <v>2</v>
      </c>
      <c r="Y64" s="134">
        <v>2</v>
      </c>
      <c r="Z64" s="134">
        <v>2</v>
      </c>
      <c r="AA64" s="134">
        <v>2</v>
      </c>
      <c r="AB64" s="134">
        <v>2</v>
      </c>
      <c r="AC64" s="134">
        <v>2</v>
      </c>
      <c r="AD64" s="134">
        <v>2</v>
      </c>
      <c r="AE64" s="134">
        <v>2</v>
      </c>
      <c r="AF64" s="134">
        <v>2</v>
      </c>
      <c r="AG64" s="134">
        <v>2</v>
      </c>
      <c r="AH64" s="134">
        <v>2</v>
      </c>
      <c r="AI64" s="134">
        <v>2</v>
      </c>
      <c r="AJ64" s="134">
        <v>2</v>
      </c>
      <c r="AK64" s="134">
        <v>2</v>
      </c>
      <c r="AL64" s="134">
        <v>2</v>
      </c>
      <c r="AM64" s="134">
        <v>2</v>
      </c>
      <c r="AN64" s="134">
        <v>2</v>
      </c>
      <c r="AO64" s="134">
        <v>2</v>
      </c>
      <c r="AP64" s="134">
        <v>2</v>
      </c>
      <c r="AQ64" s="134">
        <v>2</v>
      </c>
      <c r="AR64" s="134">
        <v>2</v>
      </c>
      <c r="AS64" s="134">
        <v>2</v>
      </c>
      <c r="AT64" s="134">
        <v>2</v>
      </c>
      <c r="AU64" s="134">
        <v>2</v>
      </c>
      <c r="AV64" s="134">
        <v>2</v>
      </c>
      <c r="AW64" s="134">
        <v>2</v>
      </c>
      <c r="AX64" s="134">
        <v>2</v>
      </c>
      <c r="AY64" s="134">
        <v>2</v>
      </c>
      <c r="AZ64" s="134">
        <v>2</v>
      </c>
      <c r="BA64" s="134">
        <v>2</v>
      </c>
      <c r="BB64" s="134">
        <v>2</v>
      </c>
      <c r="BC64" s="134">
        <v>2</v>
      </c>
      <c r="BD64" s="134">
        <v>2</v>
      </c>
      <c r="BE64" s="134">
        <v>2</v>
      </c>
      <c r="BF64" s="134">
        <v>2</v>
      </c>
      <c r="BG64" s="134">
        <v>2</v>
      </c>
      <c r="BH64" s="134">
        <v>2</v>
      </c>
      <c r="BI64" s="134">
        <v>2</v>
      </c>
      <c r="BJ64" s="134">
        <v>2</v>
      </c>
      <c r="BK64" s="134">
        <v>2</v>
      </c>
      <c r="BL64" s="134">
        <v>2</v>
      </c>
      <c r="BM64" s="134">
        <v>2</v>
      </c>
      <c r="BN64" s="134">
        <v>2</v>
      </c>
      <c r="BO64" s="134">
        <v>2</v>
      </c>
      <c r="BP64" s="134">
        <v>2</v>
      </c>
      <c r="BQ64" s="134">
        <v>2</v>
      </c>
      <c r="BR64" s="134">
        <v>2</v>
      </c>
      <c r="BS64" s="134">
        <v>2</v>
      </c>
      <c r="BT64" s="134">
        <v>2</v>
      </c>
      <c r="BU64" s="134">
        <v>2</v>
      </c>
      <c r="BV64" s="134">
        <v>2</v>
      </c>
      <c r="BW64" s="134">
        <v>2</v>
      </c>
      <c r="BX64" s="134">
        <v>2</v>
      </c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</row>
    <row r="65" spans="1:105" ht="14.25">
      <c r="A65" s="133"/>
      <c r="B65" s="134" t="s">
        <v>1210</v>
      </c>
      <c r="C65" s="134" t="s">
        <v>1210</v>
      </c>
      <c r="D65" s="134" t="s">
        <v>1210</v>
      </c>
      <c r="E65" s="134" t="s">
        <v>1210</v>
      </c>
      <c r="F65" s="134" t="s">
        <v>1210</v>
      </c>
      <c r="G65" s="134" t="s">
        <v>1210</v>
      </c>
      <c r="H65" s="134" t="s">
        <v>1210</v>
      </c>
      <c r="I65" s="134" t="s">
        <v>1210</v>
      </c>
      <c r="J65" s="134" t="s">
        <v>1210</v>
      </c>
      <c r="K65" s="134" t="s">
        <v>1210</v>
      </c>
      <c r="L65" s="134" t="s">
        <v>1210</v>
      </c>
      <c r="M65" s="134" t="s">
        <v>1210</v>
      </c>
      <c r="N65" s="134" t="s">
        <v>1210</v>
      </c>
      <c r="O65" s="134" t="s">
        <v>1210</v>
      </c>
      <c r="P65" s="134" t="s">
        <v>1210</v>
      </c>
      <c r="Q65" s="134" t="s">
        <v>1210</v>
      </c>
      <c r="R65" s="134" t="s">
        <v>1210</v>
      </c>
      <c r="S65" s="134" t="s">
        <v>1210</v>
      </c>
      <c r="T65" s="134" t="s">
        <v>1210</v>
      </c>
      <c r="U65" s="134" t="s">
        <v>1210</v>
      </c>
      <c r="V65" s="134" t="s">
        <v>1210</v>
      </c>
      <c r="W65" s="134" t="s">
        <v>1210</v>
      </c>
      <c r="X65" s="134" t="s">
        <v>1210</v>
      </c>
      <c r="Y65" s="134" t="s">
        <v>1210</v>
      </c>
      <c r="Z65" s="134" t="s">
        <v>1210</v>
      </c>
      <c r="AA65" s="134" t="s">
        <v>1210</v>
      </c>
      <c r="AB65" s="134" t="s">
        <v>1210</v>
      </c>
      <c r="AC65" s="134" t="s">
        <v>1210</v>
      </c>
      <c r="AD65" s="134" t="s">
        <v>1210</v>
      </c>
      <c r="AE65" s="134" t="s">
        <v>1210</v>
      </c>
      <c r="AF65" s="134" t="s">
        <v>1210</v>
      </c>
      <c r="AG65" s="134" t="s">
        <v>1210</v>
      </c>
      <c r="AH65" s="134" t="s">
        <v>1210</v>
      </c>
      <c r="AI65" s="134" t="s">
        <v>1210</v>
      </c>
      <c r="AJ65" s="134" t="s">
        <v>1210</v>
      </c>
      <c r="AK65" s="134" t="s">
        <v>1210</v>
      </c>
      <c r="AL65" s="134" t="s">
        <v>1210</v>
      </c>
      <c r="AM65" s="134" t="s">
        <v>1210</v>
      </c>
      <c r="AN65" s="134" t="s">
        <v>1210</v>
      </c>
      <c r="AO65" s="134" t="s">
        <v>1210</v>
      </c>
      <c r="AP65" s="134" t="s">
        <v>1210</v>
      </c>
      <c r="AQ65" s="134" t="s">
        <v>1210</v>
      </c>
      <c r="AR65" s="134" t="s">
        <v>1210</v>
      </c>
      <c r="AS65" s="134" t="s">
        <v>1210</v>
      </c>
      <c r="AT65" s="134" t="s">
        <v>774</v>
      </c>
      <c r="AU65" s="134" t="s">
        <v>774</v>
      </c>
      <c r="AV65" s="134" t="s">
        <v>774</v>
      </c>
      <c r="AW65" s="134" t="s">
        <v>774</v>
      </c>
      <c r="AX65" s="134" t="s">
        <v>774</v>
      </c>
      <c r="AY65" s="134" t="s">
        <v>774</v>
      </c>
      <c r="AZ65" s="134" t="s">
        <v>774</v>
      </c>
      <c r="BA65" s="134" t="s">
        <v>774</v>
      </c>
      <c r="BB65" s="134" t="s">
        <v>774</v>
      </c>
      <c r="BC65" s="134" t="s">
        <v>774</v>
      </c>
      <c r="BD65" s="134" t="s">
        <v>774</v>
      </c>
      <c r="BE65" s="134" t="s">
        <v>774</v>
      </c>
      <c r="BF65" s="134" t="s">
        <v>774</v>
      </c>
      <c r="BG65" s="134" t="s">
        <v>774</v>
      </c>
      <c r="BH65" s="134" t="s">
        <v>774</v>
      </c>
      <c r="BI65" s="134" t="s">
        <v>774</v>
      </c>
      <c r="BJ65" s="134" t="s">
        <v>774</v>
      </c>
      <c r="BK65" s="134" t="s">
        <v>774</v>
      </c>
      <c r="BL65" s="134" t="s">
        <v>774</v>
      </c>
      <c r="BM65" s="134" t="s">
        <v>774</v>
      </c>
      <c r="BN65" s="134" t="s">
        <v>774</v>
      </c>
      <c r="BO65" s="134" t="s">
        <v>774</v>
      </c>
      <c r="BP65" s="134" t="s">
        <v>774</v>
      </c>
      <c r="BQ65" s="134" t="s">
        <v>774</v>
      </c>
      <c r="BR65" s="134" t="s">
        <v>774</v>
      </c>
      <c r="BS65" s="134" t="s">
        <v>774</v>
      </c>
      <c r="BT65" s="134" t="s">
        <v>774</v>
      </c>
      <c r="BU65" s="134" t="s">
        <v>774</v>
      </c>
      <c r="BV65" s="134" t="s">
        <v>774</v>
      </c>
      <c r="BW65" s="134" t="s">
        <v>774</v>
      </c>
      <c r="BX65" s="134" t="s">
        <v>774</v>
      </c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</row>
    <row r="66" spans="1:105" ht="14.25">
      <c r="A66" s="133"/>
      <c r="B66" s="134" t="s">
        <v>1211</v>
      </c>
      <c r="C66" s="134" t="s">
        <v>1211</v>
      </c>
      <c r="D66" s="134" t="s">
        <v>1211</v>
      </c>
      <c r="E66" s="134" t="s">
        <v>1211</v>
      </c>
      <c r="F66" s="134" t="s">
        <v>1211</v>
      </c>
      <c r="G66" s="134" t="s">
        <v>1211</v>
      </c>
      <c r="H66" s="134" t="s">
        <v>1211</v>
      </c>
      <c r="I66" s="134" t="s">
        <v>1211</v>
      </c>
      <c r="J66" s="134" t="s">
        <v>1211</v>
      </c>
      <c r="K66" s="134" t="s">
        <v>1211</v>
      </c>
      <c r="L66" s="134" t="s">
        <v>1211</v>
      </c>
      <c r="M66" s="134" t="s">
        <v>1211</v>
      </c>
      <c r="N66" s="134" t="s">
        <v>1211</v>
      </c>
      <c r="O66" s="134" t="s">
        <v>1211</v>
      </c>
      <c r="P66" s="134" t="s">
        <v>1211</v>
      </c>
      <c r="Q66" s="134" t="s">
        <v>1211</v>
      </c>
      <c r="R66" s="134" t="s">
        <v>1211</v>
      </c>
      <c r="S66" s="134" t="s">
        <v>1211</v>
      </c>
      <c r="T66" s="134" t="s">
        <v>1211</v>
      </c>
      <c r="U66" s="134" t="s">
        <v>1211</v>
      </c>
      <c r="V66" s="134" t="s">
        <v>1211</v>
      </c>
      <c r="W66" s="134" t="s">
        <v>1211</v>
      </c>
      <c r="X66" s="134" t="s">
        <v>1211</v>
      </c>
      <c r="Y66" s="134" t="s">
        <v>1211</v>
      </c>
      <c r="Z66" s="134" t="s">
        <v>1211</v>
      </c>
      <c r="AA66" s="134" t="s">
        <v>1211</v>
      </c>
      <c r="AB66" s="134" t="s">
        <v>1211</v>
      </c>
      <c r="AC66" s="134" t="s">
        <v>1211</v>
      </c>
      <c r="AD66" s="134" t="s">
        <v>1211</v>
      </c>
      <c r="AE66" s="134" t="s">
        <v>1211</v>
      </c>
      <c r="AF66" s="134" t="s">
        <v>1211</v>
      </c>
      <c r="AG66" s="134" t="s">
        <v>1211</v>
      </c>
      <c r="AH66" s="134" t="s">
        <v>1211</v>
      </c>
      <c r="AI66" s="134" t="s">
        <v>1211</v>
      </c>
      <c r="AJ66" s="134" t="s">
        <v>1211</v>
      </c>
      <c r="AK66" s="134" t="s">
        <v>1211</v>
      </c>
      <c r="AL66" s="134" t="s">
        <v>1211</v>
      </c>
      <c r="AM66" s="134" t="s">
        <v>1211</v>
      </c>
      <c r="AN66" s="134" t="s">
        <v>1211</v>
      </c>
      <c r="AO66" s="134" t="s">
        <v>1211</v>
      </c>
      <c r="AP66" s="134" t="s">
        <v>1211</v>
      </c>
      <c r="AQ66" s="134" t="s">
        <v>1211</v>
      </c>
      <c r="AR66" s="134" t="s">
        <v>1211</v>
      </c>
      <c r="AS66" s="134" t="s">
        <v>1211</v>
      </c>
      <c r="AT66" s="134" t="s">
        <v>775</v>
      </c>
      <c r="AU66" s="134" t="s">
        <v>775</v>
      </c>
      <c r="AV66" s="134" t="s">
        <v>775</v>
      </c>
      <c r="AW66" s="134" t="s">
        <v>775</v>
      </c>
      <c r="AX66" s="134" t="s">
        <v>775</v>
      </c>
      <c r="AY66" s="134" t="s">
        <v>775</v>
      </c>
      <c r="AZ66" s="134" t="s">
        <v>775</v>
      </c>
      <c r="BA66" s="134" t="s">
        <v>775</v>
      </c>
      <c r="BB66" s="134" t="s">
        <v>775</v>
      </c>
      <c r="BC66" s="134" t="s">
        <v>775</v>
      </c>
      <c r="BD66" s="134" t="s">
        <v>775</v>
      </c>
      <c r="BE66" s="134" t="s">
        <v>775</v>
      </c>
      <c r="BF66" s="134" t="s">
        <v>775</v>
      </c>
      <c r="BG66" s="134" t="s">
        <v>775</v>
      </c>
      <c r="BH66" s="134" t="s">
        <v>775</v>
      </c>
      <c r="BI66" s="134" t="s">
        <v>775</v>
      </c>
      <c r="BJ66" s="134" t="s">
        <v>775</v>
      </c>
      <c r="BK66" s="134" t="s">
        <v>775</v>
      </c>
      <c r="BL66" s="134" t="s">
        <v>775</v>
      </c>
      <c r="BM66" s="134" t="s">
        <v>775</v>
      </c>
      <c r="BN66" s="134" t="s">
        <v>775</v>
      </c>
      <c r="BO66" s="134" t="s">
        <v>775</v>
      </c>
      <c r="BP66" s="134" t="s">
        <v>775</v>
      </c>
      <c r="BQ66" s="134" t="s">
        <v>775</v>
      </c>
      <c r="BR66" s="134" t="s">
        <v>775</v>
      </c>
      <c r="BS66" s="134" t="s">
        <v>775</v>
      </c>
      <c r="BT66" s="134" t="s">
        <v>775</v>
      </c>
      <c r="BU66" s="134" t="s">
        <v>775</v>
      </c>
      <c r="BV66" s="134" t="s">
        <v>775</v>
      </c>
      <c r="BW66" s="134" t="s">
        <v>775</v>
      </c>
      <c r="BX66" s="134" t="s">
        <v>775</v>
      </c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</row>
    <row r="67" spans="1:105" ht="14.25">
      <c r="A67" s="133"/>
      <c r="B67" s="134" t="s">
        <v>1212</v>
      </c>
      <c r="C67" s="134" t="s">
        <v>1212</v>
      </c>
      <c r="D67" s="134" t="s">
        <v>1212</v>
      </c>
      <c r="E67" s="134" t="s">
        <v>1212</v>
      </c>
      <c r="F67" s="134" t="s">
        <v>1212</v>
      </c>
      <c r="G67" s="134" t="s">
        <v>1212</v>
      </c>
      <c r="H67" s="134" t="s">
        <v>1212</v>
      </c>
      <c r="I67" s="134" t="s">
        <v>1212</v>
      </c>
      <c r="J67" s="134" t="s">
        <v>1212</v>
      </c>
      <c r="K67" s="134" t="s">
        <v>1212</v>
      </c>
      <c r="L67" s="134" t="s">
        <v>1212</v>
      </c>
      <c r="M67" s="134" t="s">
        <v>1212</v>
      </c>
      <c r="N67" s="134" t="s">
        <v>1212</v>
      </c>
      <c r="O67" s="134" t="s">
        <v>1212</v>
      </c>
      <c r="P67" s="134" t="s">
        <v>1212</v>
      </c>
      <c r="Q67" s="134" t="s">
        <v>1212</v>
      </c>
      <c r="R67" s="134" t="s">
        <v>1212</v>
      </c>
      <c r="S67" s="134" t="s">
        <v>1212</v>
      </c>
      <c r="T67" s="134" t="s">
        <v>1212</v>
      </c>
      <c r="U67" s="134" t="s">
        <v>1212</v>
      </c>
      <c r="V67" s="134" t="s">
        <v>1212</v>
      </c>
      <c r="W67" s="134" t="s">
        <v>1212</v>
      </c>
      <c r="X67" s="134" t="s">
        <v>1212</v>
      </c>
      <c r="Y67" s="134" t="s">
        <v>1212</v>
      </c>
      <c r="Z67" s="134" t="s">
        <v>1212</v>
      </c>
      <c r="AA67" s="134" t="s">
        <v>1212</v>
      </c>
      <c r="AB67" s="134" t="s">
        <v>1212</v>
      </c>
      <c r="AC67" s="134" t="s">
        <v>1212</v>
      </c>
      <c r="AD67" s="134" t="s">
        <v>1212</v>
      </c>
      <c r="AE67" s="134" t="s">
        <v>1212</v>
      </c>
      <c r="AF67" s="134" t="s">
        <v>1212</v>
      </c>
      <c r="AG67" s="134" t="s">
        <v>1212</v>
      </c>
      <c r="AH67" s="134" t="s">
        <v>1212</v>
      </c>
      <c r="AI67" s="134" t="s">
        <v>1212</v>
      </c>
      <c r="AJ67" s="134" t="s">
        <v>1212</v>
      </c>
      <c r="AK67" s="134" t="s">
        <v>1212</v>
      </c>
      <c r="AL67" s="134" t="s">
        <v>1212</v>
      </c>
      <c r="AM67" s="134" t="s">
        <v>1212</v>
      </c>
      <c r="AN67" s="134" t="s">
        <v>1212</v>
      </c>
      <c r="AO67" s="134" t="s">
        <v>1212</v>
      </c>
      <c r="AP67" s="134" t="s">
        <v>1212</v>
      </c>
      <c r="AQ67" s="134" t="s">
        <v>1212</v>
      </c>
      <c r="AR67" s="134" t="s">
        <v>1212</v>
      </c>
      <c r="AS67" s="134" t="s">
        <v>1212</v>
      </c>
      <c r="AT67" s="134" t="s">
        <v>776</v>
      </c>
      <c r="AU67" s="134" t="s">
        <v>776</v>
      </c>
      <c r="AV67" s="134" t="s">
        <v>776</v>
      </c>
      <c r="AW67" s="134" t="s">
        <v>776</v>
      </c>
      <c r="AX67" s="134" t="s">
        <v>776</v>
      </c>
      <c r="AY67" s="134" t="s">
        <v>776</v>
      </c>
      <c r="AZ67" s="134" t="s">
        <v>776</v>
      </c>
      <c r="BA67" s="134" t="s">
        <v>776</v>
      </c>
      <c r="BB67" s="134" t="s">
        <v>776</v>
      </c>
      <c r="BC67" s="134" t="s">
        <v>776</v>
      </c>
      <c r="BD67" s="134" t="s">
        <v>776</v>
      </c>
      <c r="BE67" s="134" t="s">
        <v>776</v>
      </c>
      <c r="BF67" s="134" t="s">
        <v>776</v>
      </c>
      <c r="BG67" s="134" t="s">
        <v>776</v>
      </c>
      <c r="BH67" s="134" t="s">
        <v>776</v>
      </c>
      <c r="BI67" s="134" t="s">
        <v>776</v>
      </c>
      <c r="BJ67" s="134" t="s">
        <v>776</v>
      </c>
      <c r="BK67" s="134" t="s">
        <v>776</v>
      </c>
      <c r="BL67" s="134" t="s">
        <v>776</v>
      </c>
      <c r="BM67" s="134" t="s">
        <v>776</v>
      </c>
      <c r="BN67" s="134" t="s">
        <v>776</v>
      </c>
      <c r="BO67" s="134" t="s">
        <v>776</v>
      </c>
      <c r="BP67" s="134" t="s">
        <v>776</v>
      </c>
      <c r="BQ67" s="134" t="s">
        <v>776</v>
      </c>
      <c r="BR67" s="134" t="s">
        <v>776</v>
      </c>
      <c r="BS67" s="134" t="s">
        <v>776</v>
      </c>
      <c r="BT67" s="134" t="s">
        <v>776</v>
      </c>
      <c r="BU67" s="134" t="s">
        <v>776</v>
      </c>
      <c r="BV67" s="134" t="s">
        <v>776</v>
      </c>
      <c r="BW67" s="134" t="s">
        <v>776</v>
      </c>
      <c r="BX67" s="134" t="s">
        <v>776</v>
      </c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</row>
    <row r="68" spans="1:105" ht="14.25">
      <c r="A68" s="133"/>
      <c r="B68" s="134">
        <v>3</v>
      </c>
      <c r="C68" s="134">
        <v>3</v>
      </c>
      <c r="D68" s="134">
        <v>3</v>
      </c>
      <c r="E68" s="134">
        <v>3</v>
      </c>
      <c r="F68" s="134">
        <v>3</v>
      </c>
      <c r="G68" s="134">
        <v>3</v>
      </c>
      <c r="H68" s="134">
        <v>3</v>
      </c>
      <c r="I68" s="134">
        <v>3</v>
      </c>
      <c r="J68" s="134">
        <v>3</v>
      </c>
      <c r="K68" s="134">
        <v>3</v>
      </c>
      <c r="L68" s="134">
        <v>3</v>
      </c>
      <c r="M68" s="134">
        <v>3</v>
      </c>
      <c r="N68" s="134">
        <v>3</v>
      </c>
      <c r="O68" s="134">
        <v>3</v>
      </c>
      <c r="P68" s="134">
        <v>3</v>
      </c>
      <c r="Q68" s="134">
        <v>3</v>
      </c>
      <c r="R68" s="134">
        <v>3</v>
      </c>
      <c r="S68" s="134">
        <v>3</v>
      </c>
      <c r="T68" s="134">
        <v>3</v>
      </c>
      <c r="U68" s="134">
        <v>3</v>
      </c>
      <c r="V68" s="134">
        <v>3</v>
      </c>
      <c r="W68" s="134">
        <v>3</v>
      </c>
      <c r="X68" s="134">
        <v>3</v>
      </c>
      <c r="Y68" s="134">
        <v>3</v>
      </c>
      <c r="Z68" s="134">
        <v>3</v>
      </c>
      <c r="AA68" s="134">
        <v>3</v>
      </c>
      <c r="AB68" s="134">
        <v>3</v>
      </c>
      <c r="AC68" s="134">
        <v>3</v>
      </c>
      <c r="AD68" s="134">
        <v>3</v>
      </c>
      <c r="AE68" s="134">
        <v>3</v>
      </c>
      <c r="AF68" s="134">
        <v>3</v>
      </c>
      <c r="AG68" s="134">
        <v>3</v>
      </c>
      <c r="AH68" s="134">
        <v>3</v>
      </c>
      <c r="AI68" s="134">
        <v>3</v>
      </c>
      <c r="AJ68" s="134">
        <v>3</v>
      </c>
      <c r="AK68" s="134">
        <v>3</v>
      </c>
      <c r="AL68" s="134">
        <v>3</v>
      </c>
      <c r="AM68" s="134">
        <v>3</v>
      </c>
      <c r="AN68" s="134">
        <v>3</v>
      </c>
      <c r="AO68" s="134">
        <v>3</v>
      </c>
      <c r="AP68" s="134">
        <v>3</v>
      </c>
      <c r="AQ68" s="134">
        <v>3</v>
      </c>
      <c r="AR68" s="134">
        <v>3</v>
      </c>
      <c r="AS68" s="134">
        <v>3</v>
      </c>
      <c r="AT68" s="134">
        <v>3</v>
      </c>
      <c r="AU68" s="134">
        <v>3</v>
      </c>
      <c r="AV68" s="134">
        <v>3</v>
      </c>
      <c r="AW68" s="134">
        <v>3</v>
      </c>
      <c r="AX68" s="134">
        <v>3</v>
      </c>
      <c r="AY68" s="134">
        <v>3</v>
      </c>
      <c r="AZ68" s="134">
        <v>3</v>
      </c>
      <c r="BA68" s="134">
        <v>3</v>
      </c>
      <c r="BB68" s="134">
        <v>3</v>
      </c>
      <c r="BC68" s="134">
        <v>3</v>
      </c>
      <c r="BD68" s="134">
        <v>3</v>
      </c>
      <c r="BE68" s="134">
        <v>3</v>
      </c>
      <c r="BF68" s="134">
        <v>3</v>
      </c>
      <c r="BG68" s="134">
        <v>3</v>
      </c>
      <c r="BH68" s="134">
        <v>3</v>
      </c>
      <c r="BI68" s="134">
        <v>3</v>
      </c>
      <c r="BJ68" s="134">
        <v>3</v>
      </c>
      <c r="BK68" s="134">
        <v>3</v>
      </c>
      <c r="BL68" s="134">
        <v>3</v>
      </c>
      <c r="BM68" s="134">
        <v>3</v>
      </c>
      <c r="BN68" s="134">
        <v>3</v>
      </c>
      <c r="BO68" s="134">
        <v>3</v>
      </c>
      <c r="BP68" s="134">
        <v>3</v>
      </c>
      <c r="BQ68" s="134">
        <v>3</v>
      </c>
      <c r="BR68" s="134">
        <v>3</v>
      </c>
      <c r="BS68" s="134">
        <v>3</v>
      </c>
      <c r="BT68" s="134">
        <v>3</v>
      </c>
      <c r="BU68" s="134">
        <v>3</v>
      </c>
      <c r="BV68" s="134">
        <v>3</v>
      </c>
      <c r="BW68" s="134">
        <v>3</v>
      </c>
      <c r="BX68" s="134">
        <v>3</v>
      </c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</row>
    <row r="69" spans="1:105" ht="28.5">
      <c r="A69" s="133"/>
      <c r="B69" s="215" t="s">
        <v>1073</v>
      </c>
      <c r="C69" s="215" t="s">
        <v>1073</v>
      </c>
      <c r="D69" s="215" t="s">
        <v>1073</v>
      </c>
      <c r="E69" s="215" t="s">
        <v>1073</v>
      </c>
      <c r="F69" s="215" t="s">
        <v>1073</v>
      </c>
      <c r="G69" s="215" t="s">
        <v>1073</v>
      </c>
      <c r="H69" s="215" t="s">
        <v>1073</v>
      </c>
      <c r="I69" s="215" t="s">
        <v>1073</v>
      </c>
      <c r="J69" s="215" t="s">
        <v>1073</v>
      </c>
      <c r="K69" s="215" t="s">
        <v>1073</v>
      </c>
      <c r="L69" s="215" t="s">
        <v>1073</v>
      </c>
      <c r="M69" s="215" t="s">
        <v>1073</v>
      </c>
      <c r="N69" s="215" t="s">
        <v>1073</v>
      </c>
      <c r="O69" s="215" t="s">
        <v>1073</v>
      </c>
      <c r="P69" s="215" t="s">
        <v>1073</v>
      </c>
      <c r="Q69" s="215" t="s">
        <v>1073</v>
      </c>
      <c r="R69" s="215" t="s">
        <v>1073</v>
      </c>
      <c r="S69" s="215" t="s">
        <v>1073</v>
      </c>
      <c r="T69" s="215" t="s">
        <v>1073</v>
      </c>
      <c r="U69" s="215" t="s">
        <v>1073</v>
      </c>
      <c r="V69" s="215" t="s">
        <v>1073</v>
      </c>
      <c r="W69" s="215" t="s">
        <v>1073</v>
      </c>
      <c r="X69" s="215" t="s">
        <v>1073</v>
      </c>
      <c r="Y69" s="215" t="s">
        <v>1073</v>
      </c>
      <c r="Z69" s="215" t="s">
        <v>1073</v>
      </c>
      <c r="AA69" s="215" t="s">
        <v>1073</v>
      </c>
      <c r="AB69" s="215" t="s">
        <v>1073</v>
      </c>
      <c r="AC69" s="215" t="s">
        <v>1073</v>
      </c>
      <c r="AD69" s="215" t="s">
        <v>1073</v>
      </c>
      <c r="AE69" s="215" t="s">
        <v>1073</v>
      </c>
      <c r="AF69" s="215" t="s">
        <v>1073</v>
      </c>
      <c r="AG69" s="215" t="s">
        <v>998</v>
      </c>
      <c r="AH69" s="218" t="s">
        <v>1073</v>
      </c>
      <c r="AI69" s="218" t="s">
        <v>1073</v>
      </c>
      <c r="AJ69" s="218" t="s">
        <v>1073</v>
      </c>
      <c r="AK69" s="218" t="s">
        <v>1073</v>
      </c>
      <c r="AL69" s="215" t="s">
        <v>1073</v>
      </c>
      <c r="AM69" s="215" t="s">
        <v>1073</v>
      </c>
      <c r="AN69" s="134" t="s">
        <v>1210</v>
      </c>
      <c r="AO69" s="134" t="s">
        <v>1210</v>
      </c>
      <c r="AP69" s="229">
        <f>IF(OR(Tendering!$B$22=1,Tendering!$B$22=3),"For connection to 10Mhz Ethernet, glass fibre ST and wire RJ45 and 2nd interface (RS845, IEC60870-5-103)","")</f>
      </c>
      <c r="AQ69" s="235" t="s">
        <v>1073</v>
      </c>
      <c r="AR69" s="235" t="s">
        <v>1073</v>
      </c>
      <c r="AS69" s="229">
        <f>IF(OR(Tendering!$B$22=2,Tendering!$B$22=6,Tendering!$B$22=7),"","For connection to 10Mhz Ethernet, glass fibre ST and wire RJ45 and 2nd interface (RS845, IEC60870-5-103)")</f>
      </c>
      <c r="AT69" s="229">
        <f>IF(OR(Tendering!$B$22=2,Tendering!$B$22=6,Tendering!$B$22=7),"","For connection to 100Mhz Ethernet, glass fibre SC and wire RJ45 and 2nd interface (RS485, IEC 60870-5-103)")</f>
      </c>
      <c r="AU69" s="229">
        <f>IF(OR(Tendering!$B$22=2,Tendering!$B$22=6,Tendering!$B$22=7),"","For connection to 100Mhz Ethernet, glass fibre SC and wire RJ45 and 2nd interface (RS485, IEC 60870-5-103)")</f>
      </c>
      <c r="AV69" s="229">
        <f>IF(OR(Tendering!$B$22=2,Tendering!$B$22=6,Tendering!$B$22=7),"","n/a")</f>
      </c>
      <c r="AW69" s="229">
        <f>IF(OR(Tendering!$B$22=2,Tendering!$B$22=6,Tendering!$B$22=7),"","For connection to 100Mhz Ethernet, glass fibre SC and wire RJ45 and 2nd interface (RS485, IEC 60870-5-103)")</f>
      </c>
      <c r="AX69" s="229">
        <f>IF(OR(Tendering!$B$22=2,Tendering!$B$22=6,Tendering!$B$22=7),"","For connection to 100Mhz Ethernet, glass fibre SC and wire RJ45 and 2nd interface (RS485, IEC 60870-5-103)")</f>
      </c>
      <c r="AY69" s="229">
        <f>IF(OR(Tendering!$B$22=2,Tendering!$B$22=6,Tendering!$B$22=7),"","For connection to 100Mhz Ethernet, glass fibre SC and wire RJ45 and 2nd interface (RS485, IEC 60870-5-103)")</f>
      </c>
      <c r="AZ69" s="229">
        <f>IF(OR(Tendering!$B$22=2,Tendering!$B$22=6,Tendering!$B$22=7),"","For connection to 100Mhz Ethernet, glass fibre SC and wire RJ45 and 2nd interface (RS485, IEC 60870-5-103)")</f>
      </c>
      <c r="BA69" s="229">
        <f>IF(OR(Tendering!$B$22=2,Tendering!$B$22=6,Tendering!$B$22=7),"","For connection to 100Mhz Ethernet, glass fibre SC and wire RJ45 and 2nd interface (RS485, IEC 60870-5-103)")</f>
      </c>
      <c r="BB69" s="237" t="s">
        <v>883</v>
      </c>
      <c r="BC69" s="237" t="s">
        <v>883</v>
      </c>
      <c r="BD69" s="237" t="s">
        <v>883</v>
      </c>
      <c r="BE69" s="237" t="s">
        <v>883</v>
      </c>
      <c r="BF69" s="237" t="s">
        <v>883</v>
      </c>
      <c r="BG69" s="237" t="s">
        <v>883</v>
      </c>
      <c r="BH69" s="237" t="s">
        <v>883</v>
      </c>
      <c r="BI69" s="237" t="s">
        <v>883</v>
      </c>
      <c r="BJ69" s="237" t="s">
        <v>883</v>
      </c>
      <c r="BK69" s="237" t="s">
        <v>883</v>
      </c>
      <c r="BL69" s="237" t="s">
        <v>883</v>
      </c>
      <c r="BM69" s="237" t="s">
        <v>883</v>
      </c>
      <c r="BN69" s="237" t="s">
        <v>883</v>
      </c>
      <c r="BO69" s="237" t="s">
        <v>883</v>
      </c>
      <c r="BP69" s="237" t="s">
        <v>883</v>
      </c>
      <c r="BQ69" s="237" t="s">
        <v>883</v>
      </c>
      <c r="BR69" s="237" t="s">
        <v>883</v>
      </c>
      <c r="BS69" s="237" t="s">
        <v>883</v>
      </c>
      <c r="BT69" s="237" t="s">
        <v>883</v>
      </c>
      <c r="BU69" s="237" t="s">
        <v>883</v>
      </c>
      <c r="BV69" s="237" t="s">
        <v>883</v>
      </c>
      <c r="BW69" s="237" t="s">
        <v>883</v>
      </c>
      <c r="BX69" s="237" t="s">
        <v>883</v>
      </c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</row>
    <row r="70" spans="1:105" ht="28.5">
      <c r="A70" s="133"/>
      <c r="B70" s="215" t="s">
        <v>1073</v>
      </c>
      <c r="C70" s="215" t="s">
        <v>1073</v>
      </c>
      <c r="D70" s="215" t="s">
        <v>1073</v>
      </c>
      <c r="E70" s="215" t="s">
        <v>1073</v>
      </c>
      <c r="F70" s="215" t="s">
        <v>1073</v>
      </c>
      <c r="G70" s="215" t="s">
        <v>1073</v>
      </c>
      <c r="H70" s="215" t="s">
        <v>1073</v>
      </c>
      <c r="I70" s="215" t="s">
        <v>1073</v>
      </c>
      <c r="J70" s="215" t="s">
        <v>1073</v>
      </c>
      <c r="K70" s="215" t="s">
        <v>1073</v>
      </c>
      <c r="L70" s="215" t="s">
        <v>1073</v>
      </c>
      <c r="M70" s="215" t="s">
        <v>1073</v>
      </c>
      <c r="N70" s="215" t="s">
        <v>1073</v>
      </c>
      <c r="O70" s="215" t="s">
        <v>1073</v>
      </c>
      <c r="P70" s="215" t="s">
        <v>1073</v>
      </c>
      <c r="Q70" s="215" t="s">
        <v>1073</v>
      </c>
      <c r="R70" s="215" t="s">
        <v>1073</v>
      </c>
      <c r="S70" s="215" t="s">
        <v>1073</v>
      </c>
      <c r="T70" s="215" t="s">
        <v>1073</v>
      </c>
      <c r="U70" s="215" t="s">
        <v>1073</v>
      </c>
      <c r="V70" s="215" t="s">
        <v>1073</v>
      </c>
      <c r="W70" s="215" t="s">
        <v>1073</v>
      </c>
      <c r="X70" s="215" t="s">
        <v>1073</v>
      </c>
      <c r="Y70" s="215" t="s">
        <v>1073</v>
      </c>
      <c r="Z70" s="215" t="s">
        <v>1073</v>
      </c>
      <c r="AA70" s="215" t="s">
        <v>1073</v>
      </c>
      <c r="AB70" s="215" t="s">
        <v>1073</v>
      </c>
      <c r="AC70" s="215" t="s">
        <v>1073</v>
      </c>
      <c r="AD70" s="215" t="s">
        <v>1073</v>
      </c>
      <c r="AE70" s="215" t="s">
        <v>1073</v>
      </c>
      <c r="AF70" s="215" t="s">
        <v>1073</v>
      </c>
      <c r="AG70" s="215" t="s">
        <v>999</v>
      </c>
      <c r="AH70" s="218" t="s">
        <v>1073</v>
      </c>
      <c r="AI70" s="218" t="s">
        <v>1073</v>
      </c>
      <c r="AJ70" s="218" t="s">
        <v>1073</v>
      </c>
      <c r="AK70" s="218" t="s">
        <v>1073</v>
      </c>
      <c r="AL70" s="215" t="s">
        <v>1073</v>
      </c>
      <c r="AM70" s="215" t="s">
        <v>1073</v>
      </c>
      <c r="AN70" s="134" t="s">
        <v>1211</v>
      </c>
      <c r="AO70" s="134" t="s">
        <v>1211</v>
      </c>
      <c r="AP70" s="229">
        <f>IF(OR(Tendering!$B$22=1,Tendering!$B$22=3),"For connection to 100Mhz Ethernet, glass fibre SC and wire RJ45 and 2nd interface (RS845, IEC60870-5-103)","")</f>
      </c>
      <c r="AQ70" s="235" t="s">
        <v>1073</v>
      </c>
      <c r="AR70" s="235" t="s">
        <v>1073</v>
      </c>
      <c r="AS70" s="229">
        <f>IF(OR(Tendering!$B$22=2,Tendering!$B$22=6,Tendering!$B$22=7),"","For connection to 100Mhz Ethernet, glass fibre SC and wire RJ45 and 2nd interface (RS845, IEC60870-5-103)")</f>
      </c>
      <c r="AT70" s="229">
        <f>IF(OR(Tendering!$B$22=2,Tendering!$B$22=6,Tendering!$B$22=7),"","For connection to 100Mhz Ethernet, glass fibre ST and wire RJ45 and 2nd interface (RS485, IEC 60870-5-103)")</f>
      </c>
      <c r="AU70" s="229">
        <f>IF(OR(Tendering!$B$22=2,Tendering!$B$22=6,Tendering!$B$22=7),"","For connection to 100Mhz Ethernet, glass fibre ST and wire RJ45 and 2nd interface (RS485, IEC 60870-5-103)")</f>
      </c>
      <c r="AV70" s="229">
        <f>IF(OR(Tendering!$B$22=2,Tendering!$B$22=6,Tendering!$B$22=7),"","n/a")</f>
      </c>
      <c r="AW70" s="229">
        <f>IF(OR(Tendering!$B$22=2,Tendering!$B$22=6,Tendering!$B$22=7),"","For connection to 100Mhz Ethernet, glass fibre ST and wire RJ45 and 2nd interface (RS485, IEC 60870-5-103)")</f>
      </c>
      <c r="AX70" s="229">
        <f>IF(OR(Tendering!$B$22=2,Tendering!$B$22=6,Tendering!$B$22=7),"","For connection to 100Mhz Ethernet, glass fibre ST and wire RJ45 and 2nd interface (RS485, IEC 60870-5-103)")</f>
      </c>
      <c r="AY70" s="229">
        <f>IF(OR(Tendering!$B$22=2,Tendering!$B$22=6,Tendering!$B$22=7),"","For connection to 100Mhz Ethernet, glass fibre ST and wire RJ45 and 2nd interface (RS485, IEC 60870-5-103)")</f>
      </c>
      <c r="AZ70" s="229">
        <f>IF(OR(Tendering!$B$22=2,Tendering!$B$22=6,Tendering!$B$22=7),"","For connection to 100Mhz Ethernet, glass fibre ST and wire RJ45 and 2nd interface (RS485, IEC 60870-5-103)")</f>
      </c>
      <c r="BA70" s="229">
        <f>IF(OR(Tendering!$B$22=2,Tendering!$B$22=6,Tendering!$B$22=7),"","For connection to 100Mhz Ethernet, glass fibre ST and wire RJ45 and 2nd interface (RS485, IEC 60870-5-103)")</f>
      </c>
      <c r="BB70" s="237" t="s">
        <v>889</v>
      </c>
      <c r="BC70" s="237" t="s">
        <v>889</v>
      </c>
      <c r="BD70" s="237" t="s">
        <v>889</v>
      </c>
      <c r="BE70" s="237" t="s">
        <v>889</v>
      </c>
      <c r="BF70" s="237" t="s">
        <v>889</v>
      </c>
      <c r="BG70" s="237" t="s">
        <v>889</v>
      </c>
      <c r="BH70" s="237" t="s">
        <v>889</v>
      </c>
      <c r="BI70" s="237" t="s">
        <v>889</v>
      </c>
      <c r="BJ70" s="237" t="s">
        <v>889</v>
      </c>
      <c r="BK70" s="237" t="s">
        <v>889</v>
      </c>
      <c r="BL70" s="237" t="s">
        <v>889</v>
      </c>
      <c r="BM70" s="237" t="s">
        <v>889</v>
      </c>
      <c r="BN70" s="237" t="s">
        <v>889</v>
      </c>
      <c r="BO70" s="237" t="s">
        <v>889</v>
      </c>
      <c r="BP70" s="237" t="s">
        <v>889</v>
      </c>
      <c r="BQ70" s="237" t="s">
        <v>889</v>
      </c>
      <c r="BR70" s="237" t="s">
        <v>889</v>
      </c>
      <c r="BS70" s="237" t="s">
        <v>889</v>
      </c>
      <c r="BT70" s="237" t="s">
        <v>889</v>
      </c>
      <c r="BU70" s="237" t="s">
        <v>889</v>
      </c>
      <c r="BV70" s="237" t="s">
        <v>889</v>
      </c>
      <c r="BW70" s="237" t="s">
        <v>889</v>
      </c>
      <c r="BX70" s="237" t="s">
        <v>889</v>
      </c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</row>
    <row r="71" spans="1:105" ht="14.25">
      <c r="A71" s="133"/>
      <c r="B71" s="136" t="s">
        <v>1073</v>
      </c>
      <c r="C71" s="136" t="s">
        <v>1073</v>
      </c>
      <c r="D71" s="136" t="s">
        <v>1073</v>
      </c>
      <c r="E71" s="136" t="s">
        <v>1073</v>
      </c>
      <c r="F71" s="136" t="s">
        <v>1073</v>
      </c>
      <c r="G71" s="136" t="s">
        <v>1073</v>
      </c>
      <c r="H71" s="136" t="s">
        <v>1073</v>
      </c>
      <c r="I71" s="136" t="s">
        <v>1073</v>
      </c>
      <c r="J71" s="136" t="s">
        <v>1073</v>
      </c>
      <c r="K71" s="136" t="s">
        <v>1073</v>
      </c>
      <c r="L71" s="136" t="s">
        <v>1073</v>
      </c>
      <c r="M71" s="136" t="s">
        <v>1073</v>
      </c>
      <c r="N71" s="136" t="s">
        <v>1073</v>
      </c>
      <c r="O71" s="136" t="s">
        <v>1073</v>
      </c>
      <c r="P71" s="136" t="s">
        <v>1073</v>
      </c>
      <c r="Q71" s="136" t="s">
        <v>1073</v>
      </c>
      <c r="R71" s="136" t="s">
        <v>1073</v>
      </c>
      <c r="S71" s="136" t="s">
        <v>1073</v>
      </c>
      <c r="T71" s="136" t="s">
        <v>1073</v>
      </c>
      <c r="U71" s="136" t="s">
        <v>1073</v>
      </c>
      <c r="V71" s="136" t="s">
        <v>1073</v>
      </c>
      <c r="W71" s="136" t="s">
        <v>1073</v>
      </c>
      <c r="X71" s="136" t="s">
        <v>1073</v>
      </c>
      <c r="Y71" s="136" t="s">
        <v>1073</v>
      </c>
      <c r="Z71" s="136" t="s">
        <v>1073</v>
      </c>
      <c r="AA71" s="136" t="s">
        <v>1073</v>
      </c>
      <c r="AB71" s="136" t="s">
        <v>1073</v>
      </c>
      <c r="AC71" s="136" t="s">
        <v>1073</v>
      </c>
      <c r="AD71" s="136" t="s">
        <v>1073</v>
      </c>
      <c r="AE71" s="136" t="s">
        <v>1073</v>
      </c>
      <c r="AF71" s="136" t="s">
        <v>1073</v>
      </c>
      <c r="AG71" s="136" t="s">
        <v>1073</v>
      </c>
      <c r="AH71" s="136" t="s">
        <v>1073</v>
      </c>
      <c r="AI71" s="136" t="s">
        <v>1073</v>
      </c>
      <c r="AJ71" s="136" t="s">
        <v>1073</v>
      </c>
      <c r="AK71" s="136" t="s">
        <v>1073</v>
      </c>
      <c r="AL71" s="136" t="s">
        <v>1073</v>
      </c>
      <c r="AM71" s="136" t="s">
        <v>1073</v>
      </c>
      <c r="AN71" s="134" t="s">
        <v>1212</v>
      </c>
      <c r="AO71" s="134" t="s">
        <v>1212</v>
      </c>
      <c r="AP71" s="136" t="s">
        <v>1073</v>
      </c>
      <c r="AQ71" s="136" t="s">
        <v>1073</v>
      </c>
      <c r="AR71" s="136" t="s">
        <v>1073</v>
      </c>
      <c r="AS71" s="136" t="s">
        <v>1073</v>
      </c>
      <c r="AT71" s="136" t="s">
        <v>1073</v>
      </c>
      <c r="AU71" s="136" t="s">
        <v>1073</v>
      </c>
      <c r="AV71" s="136" t="s">
        <v>1073</v>
      </c>
      <c r="AW71" s="136" t="s">
        <v>1073</v>
      </c>
      <c r="AX71" s="136" t="s">
        <v>1073</v>
      </c>
      <c r="AY71" s="136" t="s">
        <v>1073</v>
      </c>
      <c r="AZ71" s="136" t="s">
        <v>1073</v>
      </c>
      <c r="BA71" s="136" t="s">
        <v>1073</v>
      </c>
      <c r="BB71" s="136" t="s">
        <v>1073</v>
      </c>
      <c r="BC71" s="136" t="s">
        <v>1073</v>
      </c>
      <c r="BD71" s="136" t="s">
        <v>1073</v>
      </c>
      <c r="BE71" s="136" t="s">
        <v>1073</v>
      </c>
      <c r="BF71" s="136" t="s">
        <v>1073</v>
      </c>
      <c r="BG71" s="136" t="s">
        <v>1073</v>
      </c>
      <c r="BH71" s="136" t="s">
        <v>1073</v>
      </c>
      <c r="BI71" s="136" t="s">
        <v>1073</v>
      </c>
      <c r="BJ71" s="136" t="s">
        <v>1073</v>
      </c>
      <c r="BK71" s="136" t="s">
        <v>1073</v>
      </c>
      <c r="BL71" s="136" t="s">
        <v>1073</v>
      </c>
      <c r="BM71" s="136" t="s">
        <v>1073</v>
      </c>
      <c r="BN71" s="136" t="s">
        <v>1073</v>
      </c>
      <c r="BO71" s="136" t="s">
        <v>1073</v>
      </c>
      <c r="BP71" s="136" t="s">
        <v>1073</v>
      </c>
      <c r="BQ71" s="136" t="s">
        <v>1073</v>
      </c>
      <c r="BR71" s="136" t="s">
        <v>1073</v>
      </c>
      <c r="BS71" s="136" t="s">
        <v>1073</v>
      </c>
      <c r="BT71" s="136" t="s">
        <v>1073</v>
      </c>
      <c r="BU71" s="136" t="s">
        <v>1073</v>
      </c>
      <c r="BV71" s="136" t="s">
        <v>1073</v>
      </c>
      <c r="BW71" s="136" t="s">
        <v>1073</v>
      </c>
      <c r="BX71" s="136" t="s">
        <v>1073</v>
      </c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</row>
    <row r="72" spans="1:105" ht="15">
      <c r="A72" s="135" t="s">
        <v>1206</v>
      </c>
      <c r="B72" s="136" t="s">
        <v>1073</v>
      </c>
      <c r="C72" s="136" t="s">
        <v>1073</v>
      </c>
      <c r="D72" s="136" t="s">
        <v>1073</v>
      </c>
      <c r="E72" s="136" t="s">
        <v>1073</v>
      </c>
      <c r="F72" s="136" t="s">
        <v>1073</v>
      </c>
      <c r="G72" s="136" t="s">
        <v>1073</v>
      </c>
      <c r="H72" s="136" t="s">
        <v>1073</v>
      </c>
      <c r="I72" s="136" t="s">
        <v>1073</v>
      </c>
      <c r="J72" s="136" t="s">
        <v>1073</v>
      </c>
      <c r="K72" s="136" t="s">
        <v>1073</v>
      </c>
      <c r="L72" s="136" t="s">
        <v>1073</v>
      </c>
      <c r="M72" s="136" t="s">
        <v>1073</v>
      </c>
      <c r="N72" s="136" t="s">
        <v>1073</v>
      </c>
      <c r="O72" s="136" t="s">
        <v>1073</v>
      </c>
      <c r="P72" s="136" t="s">
        <v>1073</v>
      </c>
      <c r="Q72" s="136" t="s">
        <v>1073</v>
      </c>
      <c r="R72" s="136" t="s">
        <v>1073</v>
      </c>
      <c r="S72" s="136" t="s">
        <v>1073</v>
      </c>
      <c r="T72" s="136" t="s">
        <v>1073</v>
      </c>
      <c r="U72" s="136" t="s">
        <v>1073</v>
      </c>
      <c r="V72" s="136" t="s">
        <v>1073</v>
      </c>
      <c r="W72" s="136" t="s">
        <v>1073</v>
      </c>
      <c r="X72" s="136" t="s">
        <v>1073</v>
      </c>
      <c r="Y72" s="136" t="s">
        <v>1073</v>
      </c>
      <c r="Z72" s="136" t="s">
        <v>1073</v>
      </c>
      <c r="AA72" s="136" t="s">
        <v>1073</v>
      </c>
      <c r="AB72" s="136" t="s">
        <v>1073</v>
      </c>
      <c r="AC72" s="136" t="s">
        <v>1073</v>
      </c>
      <c r="AD72" s="136" t="s">
        <v>1073</v>
      </c>
      <c r="AE72" s="136" t="s">
        <v>1073</v>
      </c>
      <c r="AF72" s="136" t="s">
        <v>1073</v>
      </c>
      <c r="AG72" s="136" t="s">
        <v>1073</v>
      </c>
      <c r="AH72" s="136" t="s">
        <v>1073</v>
      </c>
      <c r="AI72" s="136" t="s">
        <v>1073</v>
      </c>
      <c r="AJ72" s="136" t="s">
        <v>1073</v>
      </c>
      <c r="AK72" s="136" t="s">
        <v>1073</v>
      </c>
      <c r="AL72" s="136" t="s">
        <v>1073</v>
      </c>
      <c r="AM72" s="136" t="s">
        <v>1073</v>
      </c>
      <c r="AN72" s="136" t="s">
        <v>1073</v>
      </c>
      <c r="AO72" s="136" t="s">
        <v>1073</v>
      </c>
      <c r="AP72" s="136" t="s">
        <v>1073</v>
      </c>
      <c r="AQ72" s="136" t="s">
        <v>1073</v>
      </c>
      <c r="AR72" s="136" t="s">
        <v>1073</v>
      </c>
      <c r="AS72" s="136" t="s">
        <v>1073</v>
      </c>
      <c r="AT72" s="136" t="s">
        <v>1073</v>
      </c>
      <c r="AU72" s="136" t="s">
        <v>1073</v>
      </c>
      <c r="AV72" s="136" t="s">
        <v>1073</v>
      </c>
      <c r="AW72" s="136" t="s">
        <v>1073</v>
      </c>
      <c r="AX72" s="136" t="s">
        <v>1073</v>
      </c>
      <c r="AY72" s="136" t="s">
        <v>1073</v>
      </c>
      <c r="AZ72" s="136" t="s">
        <v>1073</v>
      </c>
      <c r="BA72" s="136" t="s">
        <v>1073</v>
      </c>
      <c r="BB72" s="136" t="s">
        <v>1073</v>
      </c>
      <c r="BC72" s="136" t="s">
        <v>1073</v>
      </c>
      <c r="BD72" s="136" t="s">
        <v>1073</v>
      </c>
      <c r="BE72" s="136" t="s">
        <v>1073</v>
      </c>
      <c r="BF72" s="136" t="s">
        <v>1073</v>
      </c>
      <c r="BG72" s="136" t="s">
        <v>1073</v>
      </c>
      <c r="BH72" s="136" t="s">
        <v>1073</v>
      </c>
      <c r="BI72" s="136" t="s">
        <v>1073</v>
      </c>
      <c r="BJ72" s="136" t="s">
        <v>1073</v>
      </c>
      <c r="BK72" s="136" t="s">
        <v>1073</v>
      </c>
      <c r="BL72" s="136" t="s">
        <v>1073</v>
      </c>
      <c r="BM72" s="136" t="s">
        <v>1073</v>
      </c>
      <c r="BN72" s="136" t="s">
        <v>1073</v>
      </c>
      <c r="BO72" s="136" t="s">
        <v>1073</v>
      </c>
      <c r="BP72" s="136" t="s">
        <v>1073</v>
      </c>
      <c r="BQ72" s="136" t="s">
        <v>1073</v>
      </c>
      <c r="BR72" s="136" t="s">
        <v>1073</v>
      </c>
      <c r="BS72" s="136" t="s">
        <v>1073</v>
      </c>
      <c r="BT72" s="136" t="s">
        <v>1073</v>
      </c>
      <c r="BU72" s="136" t="s">
        <v>1073</v>
      </c>
      <c r="BV72" s="136" t="s">
        <v>1073</v>
      </c>
      <c r="BW72" s="136" t="s">
        <v>1073</v>
      </c>
      <c r="BX72" s="136" t="s">
        <v>1073</v>
      </c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129" t="s">
        <v>1073</v>
      </c>
      <c r="CJ72" s="129" t="s">
        <v>1073</v>
      </c>
      <c r="CK72" s="129" t="s">
        <v>1073</v>
      </c>
      <c r="CL72" s="129" t="s">
        <v>1073</v>
      </c>
      <c r="CM72" s="129" t="s">
        <v>1073</v>
      </c>
      <c r="CN72" s="129" t="s">
        <v>1073</v>
      </c>
      <c r="CO72" s="129" t="s">
        <v>1073</v>
      </c>
      <c r="CP72" s="129" t="s">
        <v>1073</v>
      </c>
      <c r="CQ72" s="129" t="s">
        <v>1073</v>
      </c>
      <c r="CR72" s="129" t="s">
        <v>1073</v>
      </c>
      <c r="CS72" s="129" t="s">
        <v>1073</v>
      </c>
      <c r="CT72" s="129" t="s">
        <v>1073</v>
      </c>
      <c r="CU72" s="129" t="s">
        <v>1073</v>
      </c>
      <c r="CV72" s="129" t="s">
        <v>1073</v>
      </c>
      <c r="CW72" s="129" t="s">
        <v>1073</v>
      </c>
      <c r="CX72" s="129" t="s">
        <v>1073</v>
      </c>
      <c r="CY72" s="129" t="s">
        <v>1073</v>
      </c>
      <c r="CZ72" s="129" t="s">
        <v>1073</v>
      </c>
      <c r="DA72" s="129" t="s">
        <v>1073</v>
      </c>
    </row>
    <row r="73" spans="1:105" ht="14.25">
      <c r="A73" s="140" t="s">
        <v>1070</v>
      </c>
      <c r="B73" s="134" t="s">
        <v>1091</v>
      </c>
      <c r="C73" s="134" t="s">
        <v>1093</v>
      </c>
      <c r="D73" s="134" t="s">
        <v>1093</v>
      </c>
      <c r="E73" s="134" t="s">
        <v>1093</v>
      </c>
      <c r="F73" s="134" t="s">
        <v>1093</v>
      </c>
      <c r="G73" s="134" t="s">
        <v>1093</v>
      </c>
      <c r="H73" s="134" t="s">
        <v>1093</v>
      </c>
      <c r="I73" s="134" t="s">
        <v>1093</v>
      </c>
      <c r="J73" s="134" t="s">
        <v>1094</v>
      </c>
      <c r="K73" s="134" t="s">
        <v>1094</v>
      </c>
      <c r="L73" s="134" t="s">
        <v>1094</v>
      </c>
      <c r="M73" s="134" t="s">
        <v>1096</v>
      </c>
      <c r="N73" s="134" t="s">
        <v>1096</v>
      </c>
      <c r="O73" s="134" t="s">
        <v>1096</v>
      </c>
      <c r="P73" s="134" t="s">
        <v>1096</v>
      </c>
      <c r="Q73" s="134" t="s">
        <v>1096</v>
      </c>
      <c r="R73" s="134" t="s">
        <v>1240</v>
      </c>
      <c r="S73" s="134" t="s">
        <v>1240</v>
      </c>
      <c r="T73" s="134" t="s">
        <v>1240</v>
      </c>
      <c r="U73" s="134" t="s">
        <v>1240</v>
      </c>
      <c r="V73" s="134" t="s">
        <v>1240</v>
      </c>
      <c r="W73" s="134" t="s">
        <v>1240</v>
      </c>
      <c r="X73" s="134" t="s">
        <v>1240</v>
      </c>
      <c r="Y73" s="134" t="s">
        <v>1096</v>
      </c>
      <c r="Z73" s="134" t="s">
        <v>1240</v>
      </c>
      <c r="AA73" s="134" t="s">
        <v>1240</v>
      </c>
      <c r="AB73" s="134" t="s">
        <v>1240</v>
      </c>
      <c r="AC73" s="134" t="s">
        <v>1240</v>
      </c>
      <c r="AD73" s="134" t="s">
        <v>1240</v>
      </c>
      <c r="AE73" s="134" t="s">
        <v>1240</v>
      </c>
      <c r="AF73" s="134" t="s">
        <v>1240</v>
      </c>
      <c r="AG73" s="134" t="s">
        <v>39</v>
      </c>
      <c r="AH73" s="134" t="s">
        <v>1240</v>
      </c>
      <c r="AI73" s="134" t="s">
        <v>1240</v>
      </c>
      <c r="AJ73" s="134" t="s">
        <v>1240</v>
      </c>
      <c r="AK73" s="134" t="s">
        <v>1240</v>
      </c>
      <c r="AL73" s="134" t="s">
        <v>1240</v>
      </c>
      <c r="AM73" s="134" t="s">
        <v>1240</v>
      </c>
      <c r="AN73" s="134" t="s">
        <v>1240</v>
      </c>
      <c r="AO73" s="134" t="s">
        <v>1240</v>
      </c>
      <c r="AP73" s="134" t="s">
        <v>45</v>
      </c>
      <c r="AQ73" s="134" t="s">
        <v>45</v>
      </c>
      <c r="AR73" s="134" t="s">
        <v>46</v>
      </c>
      <c r="AS73" s="134" t="s">
        <v>45</v>
      </c>
      <c r="AT73" s="134" t="s">
        <v>46</v>
      </c>
      <c r="AU73" s="134" t="s">
        <v>46</v>
      </c>
      <c r="AV73" s="134" t="s">
        <v>48</v>
      </c>
      <c r="AW73" s="134" t="s">
        <v>48</v>
      </c>
      <c r="AX73" s="134" t="s">
        <v>48</v>
      </c>
      <c r="AY73" s="134" t="s">
        <v>56</v>
      </c>
      <c r="AZ73" s="134" t="s">
        <v>56</v>
      </c>
      <c r="BA73" s="134" t="s">
        <v>56</v>
      </c>
      <c r="BB73" s="134" t="s">
        <v>56</v>
      </c>
      <c r="BC73" s="134" t="s">
        <v>56</v>
      </c>
      <c r="BD73" s="134" t="s">
        <v>56</v>
      </c>
      <c r="BE73" s="134" t="s">
        <v>57</v>
      </c>
      <c r="BF73" s="134" t="s">
        <v>56</v>
      </c>
      <c r="BG73" s="134" t="s">
        <v>57</v>
      </c>
      <c r="BH73" s="134" t="s">
        <v>85</v>
      </c>
      <c r="BI73" s="134" t="s">
        <v>56</v>
      </c>
      <c r="BJ73" s="134" t="s">
        <v>56</v>
      </c>
      <c r="BK73" s="134" t="s">
        <v>57</v>
      </c>
      <c r="BL73" s="134" t="s">
        <v>57</v>
      </c>
      <c r="BM73" s="134" t="s">
        <v>200</v>
      </c>
      <c r="BN73" s="134" t="s">
        <v>201</v>
      </c>
      <c r="BO73" s="134" t="s">
        <v>85</v>
      </c>
      <c r="BP73" s="134" t="s">
        <v>56</v>
      </c>
      <c r="BQ73" s="134" t="s">
        <v>85</v>
      </c>
      <c r="BR73" s="134" t="s">
        <v>201</v>
      </c>
      <c r="BS73" s="134" t="s">
        <v>85</v>
      </c>
      <c r="BT73" s="134" t="s">
        <v>200</v>
      </c>
      <c r="BU73" s="134" t="s">
        <v>56</v>
      </c>
      <c r="BV73" s="134" t="s">
        <v>200</v>
      </c>
      <c r="BW73" s="134" t="s">
        <v>202</v>
      </c>
      <c r="BX73" s="134" t="s">
        <v>17</v>
      </c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29" t="s">
        <v>1073</v>
      </c>
      <c r="CJ73" s="129" t="s">
        <v>1073</v>
      </c>
      <c r="CK73" s="129" t="s">
        <v>1073</v>
      </c>
      <c r="CL73" s="129" t="s">
        <v>1073</v>
      </c>
      <c r="CM73" s="129" t="s">
        <v>1073</v>
      </c>
      <c r="CN73" s="129" t="s">
        <v>1073</v>
      </c>
      <c r="CO73" s="129" t="s">
        <v>1073</v>
      </c>
      <c r="CP73" s="129" t="s">
        <v>1073</v>
      </c>
      <c r="CQ73" s="129" t="s">
        <v>1073</v>
      </c>
      <c r="CR73" s="129" t="s">
        <v>1073</v>
      </c>
      <c r="CS73" s="129" t="s">
        <v>1073</v>
      </c>
      <c r="CT73" s="129" t="s">
        <v>1073</v>
      </c>
      <c r="CU73" s="129" t="s">
        <v>1073</v>
      </c>
      <c r="CV73" s="129" t="s">
        <v>1073</v>
      </c>
      <c r="CW73" s="129" t="s">
        <v>1073</v>
      </c>
      <c r="CX73" s="129" t="s">
        <v>1073</v>
      </c>
      <c r="CY73" s="129" t="s">
        <v>1073</v>
      </c>
      <c r="CZ73" s="129" t="s">
        <v>1073</v>
      </c>
      <c r="DA73" s="129" t="s">
        <v>1073</v>
      </c>
    </row>
    <row r="74" spans="1:105" ht="14.25">
      <c r="A74" s="133" t="s">
        <v>1073</v>
      </c>
      <c r="B74" s="136" t="s">
        <v>275</v>
      </c>
      <c r="C74" s="136" t="s">
        <v>1235</v>
      </c>
      <c r="D74" s="136" t="s">
        <v>1235</v>
      </c>
      <c r="E74" s="136" t="s">
        <v>1235</v>
      </c>
      <c r="F74" s="136" t="s">
        <v>1235</v>
      </c>
      <c r="G74" s="136" t="s">
        <v>1235</v>
      </c>
      <c r="H74" s="136" t="s">
        <v>1235</v>
      </c>
      <c r="I74" s="136" t="s">
        <v>1235</v>
      </c>
      <c r="J74" s="136" t="s">
        <v>37</v>
      </c>
      <c r="K74" s="136" t="s">
        <v>37</v>
      </c>
      <c r="L74" s="136" t="s">
        <v>37</v>
      </c>
      <c r="M74" s="136" t="s">
        <v>50</v>
      </c>
      <c r="N74" s="136" t="s">
        <v>50</v>
      </c>
      <c r="O74" s="136" t="s">
        <v>50</v>
      </c>
      <c r="P74" s="136" t="s">
        <v>50</v>
      </c>
      <c r="Q74" s="136" t="s">
        <v>50</v>
      </c>
      <c r="R74" s="136" t="s">
        <v>210</v>
      </c>
      <c r="S74" s="136" t="s">
        <v>210</v>
      </c>
      <c r="T74" s="136" t="s">
        <v>210</v>
      </c>
      <c r="U74" s="136" t="s">
        <v>210</v>
      </c>
      <c r="V74" s="136" t="s">
        <v>210</v>
      </c>
      <c r="W74" s="136" t="s">
        <v>210</v>
      </c>
      <c r="X74" s="136" t="s">
        <v>210</v>
      </c>
      <c r="Y74" s="136" t="s">
        <v>50</v>
      </c>
      <c r="Z74" s="136" t="s">
        <v>210</v>
      </c>
      <c r="AA74" s="136" t="s">
        <v>210</v>
      </c>
      <c r="AB74" s="136" t="s">
        <v>210</v>
      </c>
      <c r="AC74" s="136" t="s">
        <v>210</v>
      </c>
      <c r="AD74" s="136" t="s">
        <v>210</v>
      </c>
      <c r="AE74" s="136" t="s">
        <v>210</v>
      </c>
      <c r="AF74" s="136" t="s">
        <v>210</v>
      </c>
      <c r="AG74" s="136" t="s">
        <v>993</v>
      </c>
      <c r="AH74" s="136" t="s">
        <v>210</v>
      </c>
      <c r="AI74" s="136" t="s">
        <v>210</v>
      </c>
      <c r="AJ74" s="136" t="s">
        <v>210</v>
      </c>
      <c r="AK74" s="136" t="s">
        <v>210</v>
      </c>
      <c r="AL74" s="136" t="s">
        <v>210</v>
      </c>
      <c r="AM74" s="136" t="s">
        <v>210</v>
      </c>
      <c r="AN74" s="136" t="s">
        <v>210</v>
      </c>
      <c r="AO74" s="136" t="s">
        <v>210</v>
      </c>
      <c r="AP74" s="136" t="s">
        <v>1069</v>
      </c>
      <c r="AQ74" s="136" t="s">
        <v>1069</v>
      </c>
      <c r="AR74" s="136" t="s">
        <v>704</v>
      </c>
      <c r="AS74" s="136" t="s">
        <v>1069</v>
      </c>
      <c r="AT74" s="136" t="s">
        <v>704</v>
      </c>
      <c r="AU74" s="136" t="s">
        <v>704</v>
      </c>
      <c r="AV74" s="136" t="s">
        <v>777</v>
      </c>
      <c r="AW74" s="136" t="s">
        <v>777</v>
      </c>
      <c r="AX74" s="136" t="s">
        <v>777</v>
      </c>
      <c r="AY74" s="136" t="s">
        <v>817</v>
      </c>
      <c r="AZ74" s="136" t="s">
        <v>817</v>
      </c>
      <c r="BA74" s="136" t="s">
        <v>817</v>
      </c>
      <c r="BB74" s="136" t="s">
        <v>817</v>
      </c>
      <c r="BC74" s="136" t="s">
        <v>817</v>
      </c>
      <c r="BD74" s="136" t="s">
        <v>817</v>
      </c>
      <c r="BE74" s="136" t="s">
        <v>161</v>
      </c>
      <c r="BF74" s="136" t="s">
        <v>817</v>
      </c>
      <c r="BG74" s="136" t="s">
        <v>161</v>
      </c>
      <c r="BH74" s="136" t="s">
        <v>900</v>
      </c>
      <c r="BI74" s="136" t="s">
        <v>817</v>
      </c>
      <c r="BJ74" s="136" t="s">
        <v>817</v>
      </c>
      <c r="BK74" s="136" t="s">
        <v>161</v>
      </c>
      <c r="BL74" s="136" t="s">
        <v>161</v>
      </c>
      <c r="BM74" s="136" t="s">
        <v>900</v>
      </c>
      <c r="BN74" s="136" t="s">
        <v>1107</v>
      </c>
      <c r="BO74" s="136" t="s">
        <v>53</v>
      </c>
      <c r="BP74" s="136" t="s">
        <v>817</v>
      </c>
      <c r="BQ74" s="136" t="s">
        <v>53</v>
      </c>
      <c r="BR74" s="136" t="s">
        <v>1107</v>
      </c>
      <c r="BS74" s="136" t="s">
        <v>53</v>
      </c>
      <c r="BT74" s="136" t="s">
        <v>937</v>
      </c>
      <c r="BU74" s="136" t="s">
        <v>817</v>
      </c>
      <c r="BV74" s="136" t="s">
        <v>937</v>
      </c>
      <c r="BW74" s="136" t="s">
        <v>127</v>
      </c>
      <c r="BX74" s="136" t="s">
        <v>137</v>
      </c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129" t="s">
        <v>1073</v>
      </c>
      <c r="CJ74" s="129" t="s">
        <v>1073</v>
      </c>
      <c r="CK74" s="129" t="s">
        <v>1073</v>
      </c>
      <c r="CL74" s="129" t="s">
        <v>1073</v>
      </c>
      <c r="CM74" s="129" t="s">
        <v>1073</v>
      </c>
      <c r="CN74" s="129" t="s">
        <v>1073</v>
      </c>
      <c r="CO74" s="129" t="s">
        <v>1073</v>
      </c>
      <c r="CP74" s="129" t="s">
        <v>1073</v>
      </c>
      <c r="CQ74" s="129" t="s">
        <v>1073</v>
      </c>
      <c r="CR74" s="129" t="s">
        <v>1073</v>
      </c>
      <c r="CS74" s="129" t="s">
        <v>1073</v>
      </c>
      <c r="CT74" s="129" t="s">
        <v>1073</v>
      </c>
      <c r="CU74" s="129" t="s">
        <v>1073</v>
      </c>
      <c r="CV74" s="129" t="s">
        <v>1073</v>
      </c>
      <c r="CW74" s="129" t="s">
        <v>1073</v>
      </c>
      <c r="CX74" s="129" t="s">
        <v>1073</v>
      </c>
      <c r="CY74" s="129" t="s">
        <v>1073</v>
      </c>
      <c r="CZ74" s="129" t="s">
        <v>1073</v>
      </c>
      <c r="DA74" s="129" t="s">
        <v>1073</v>
      </c>
    </row>
    <row r="75" spans="1:105" ht="14.25">
      <c r="A75" s="140" t="s">
        <v>69</v>
      </c>
      <c r="B75" s="136" t="s">
        <v>1215</v>
      </c>
      <c r="C75" s="136" t="s">
        <v>1215</v>
      </c>
      <c r="D75" s="136" t="s">
        <v>1215</v>
      </c>
      <c r="E75" s="136" t="s">
        <v>1215</v>
      </c>
      <c r="F75" s="136" t="s">
        <v>1215</v>
      </c>
      <c r="G75" s="136" t="s">
        <v>1215</v>
      </c>
      <c r="H75" s="136" t="s">
        <v>1215</v>
      </c>
      <c r="I75" s="136" t="s">
        <v>1215</v>
      </c>
      <c r="J75" s="136" t="s">
        <v>1215</v>
      </c>
      <c r="K75" s="136" t="s">
        <v>1215</v>
      </c>
      <c r="L75" s="136" t="s">
        <v>1215</v>
      </c>
      <c r="M75" s="136" t="s">
        <v>1215</v>
      </c>
      <c r="N75" s="136" t="s">
        <v>1215</v>
      </c>
      <c r="O75" s="136" t="s">
        <v>1215</v>
      </c>
      <c r="P75" s="136" t="s">
        <v>1215</v>
      </c>
      <c r="Q75" s="136" t="s">
        <v>1215</v>
      </c>
      <c r="R75" s="136" t="s">
        <v>1215</v>
      </c>
      <c r="S75" s="136" t="s">
        <v>1215</v>
      </c>
      <c r="T75" s="136" t="s">
        <v>1215</v>
      </c>
      <c r="U75" s="136" t="s">
        <v>1215</v>
      </c>
      <c r="V75" s="136" t="s">
        <v>1215</v>
      </c>
      <c r="W75" s="136" t="s">
        <v>1215</v>
      </c>
      <c r="X75" s="136" t="s">
        <v>1215</v>
      </c>
      <c r="Y75" s="136" t="s">
        <v>1215</v>
      </c>
      <c r="Z75" s="136" t="s">
        <v>1215</v>
      </c>
      <c r="AA75" s="136" t="s">
        <v>1215</v>
      </c>
      <c r="AB75" s="136" t="s">
        <v>1215</v>
      </c>
      <c r="AC75" s="136" t="s">
        <v>1215</v>
      </c>
      <c r="AD75" s="136" t="s">
        <v>1215</v>
      </c>
      <c r="AE75" s="136" t="s">
        <v>1215</v>
      </c>
      <c r="AF75" s="136" t="s">
        <v>1215</v>
      </c>
      <c r="AG75" s="136" t="s">
        <v>1215</v>
      </c>
      <c r="AH75" s="136" t="s">
        <v>1215</v>
      </c>
      <c r="AI75" s="136" t="s">
        <v>1215</v>
      </c>
      <c r="AJ75" s="136" t="s">
        <v>1215</v>
      </c>
      <c r="AK75" s="136" t="s">
        <v>1215</v>
      </c>
      <c r="AL75" s="136" t="s">
        <v>1215</v>
      </c>
      <c r="AM75" s="136" t="s">
        <v>1215</v>
      </c>
      <c r="AN75" s="136" t="s">
        <v>1215</v>
      </c>
      <c r="AO75" s="136" t="s">
        <v>1215</v>
      </c>
      <c r="AP75" s="136" t="s">
        <v>1215</v>
      </c>
      <c r="AQ75" s="136" t="s">
        <v>1215</v>
      </c>
      <c r="AR75" s="136" t="s">
        <v>1215</v>
      </c>
      <c r="AS75" s="136" t="s">
        <v>1215</v>
      </c>
      <c r="AT75" s="136" t="s">
        <v>1215</v>
      </c>
      <c r="AU75" s="136" t="s">
        <v>1215</v>
      </c>
      <c r="AV75" s="136" t="s">
        <v>1215</v>
      </c>
      <c r="AW75" s="136" t="s">
        <v>1215</v>
      </c>
      <c r="AX75" s="136" t="s">
        <v>1215</v>
      </c>
      <c r="AY75" s="136" t="s">
        <v>1215</v>
      </c>
      <c r="AZ75" s="136" t="s">
        <v>1215</v>
      </c>
      <c r="BA75" s="136" t="s">
        <v>1215</v>
      </c>
      <c r="BB75" s="136" t="s">
        <v>1215</v>
      </c>
      <c r="BC75" s="136" t="s">
        <v>1215</v>
      </c>
      <c r="BD75" s="136" t="s">
        <v>1215</v>
      </c>
      <c r="BE75" s="136" t="s">
        <v>1215</v>
      </c>
      <c r="BF75" s="136" t="s">
        <v>1215</v>
      </c>
      <c r="BG75" s="136" t="s">
        <v>1215</v>
      </c>
      <c r="BH75" s="136" t="s">
        <v>1215</v>
      </c>
      <c r="BI75" s="136" t="s">
        <v>1215</v>
      </c>
      <c r="BJ75" s="136" t="s">
        <v>1215</v>
      </c>
      <c r="BK75" s="136" t="s">
        <v>1215</v>
      </c>
      <c r="BL75" s="136" t="s">
        <v>1215</v>
      </c>
      <c r="BM75" s="136" t="s">
        <v>1215</v>
      </c>
      <c r="BN75" s="136" t="s">
        <v>1215</v>
      </c>
      <c r="BO75" s="136" t="s">
        <v>1215</v>
      </c>
      <c r="BP75" s="136" t="s">
        <v>1215</v>
      </c>
      <c r="BQ75" s="136" t="s">
        <v>1215</v>
      </c>
      <c r="BR75" s="136" t="s">
        <v>1215</v>
      </c>
      <c r="BS75" s="136" t="s">
        <v>1215</v>
      </c>
      <c r="BT75" s="136" t="s">
        <v>1215</v>
      </c>
      <c r="BU75" s="136" t="s">
        <v>1215</v>
      </c>
      <c r="BV75" s="136" t="s">
        <v>1215</v>
      </c>
      <c r="BW75" s="136" t="s">
        <v>1215</v>
      </c>
      <c r="BX75" s="136" t="s">
        <v>1215</v>
      </c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</row>
    <row r="76" spans="1:105" ht="14.25">
      <c r="A76" s="133"/>
      <c r="B76" s="136" t="s">
        <v>70</v>
      </c>
      <c r="C76" s="136" t="s">
        <v>70</v>
      </c>
      <c r="D76" s="136" t="s">
        <v>70</v>
      </c>
      <c r="E76" s="136" t="s">
        <v>70</v>
      </c>
      <c r="F76" s="136" t="s">
        <v>70</v>
      </c>
      <c r="G76" s="136" t="s">
        <v>70</v>
      </c>
      <c r="H76" s="136" t="s">
        <v>70</v>
      </c>
      <c r="I76" s="136" t="s">
        <v>70</v>
      </c>
      <c r="J76" s="136" t="s">
        <v>70</v>
      </c>
      <c r="K76" s="136" t="s">
        <v>70</v>
      </c>
      <c r="L76" s="136" t="s">
        <v>70</v>
      </c>
      <c r="M76" s="136" t="s">
        <v>70</v>
      </c>
      <c r="N76" s="136" t="s">
        <v>70</v>
      </c>
      <c r="O76" s="136" t="s">
        <v>70</v>
      </c>
      <c r="P76" s="136" t="s">
        <v>70</v>
      </c>
      <c r="Q76" s="136" t="s">
        <v>70</v>
      </c>
      <c r="R76" s="136" t="s">
        <v>70</v>
      </c>
      <c r="S76" s="136" t="s">
        <v>70</v>
      </c>
      <c r="T76" s="136" t="s">
        <v>70</v>
      </c>
      <c r="U76" s="136" t="s">
        <v>70</v>
      </c>
      <c r="V76" s="136" t="s">
        <v>70</v>
      </c>
      <c r="W76" s="136" t="s">
        <v>70</v>
      </c>
      <c r="X76" s="136" t="s">
        <v>70</v>
      </c>
      <c r="Y76" s="136" t="s">
        <v>70</v>
      </c>
      <c r="Z76" s="136" t="s">
        <v>70</v>
      </c>
      <c r="AA76" s="136" t="s">
        <v>70</v>
      </c>
      <c r="AB76" s="136" t="s">
        <v>70</v>
      </c>
      <c r="AC76" s="136" t="s">
        <v>70</v>
      </c>
      <c r="AD76" s="136" t="s">
        <v>70</v>
      </c>
      <c r="AE76" s="136" t="s">
        <v>70</v>
      </c>
      <c r="AF76" s="136" t="s">
        <v>70</v>
      </c>
      <c r="AG76" s="136" t="s">
        <v>70</v>
      </c>
      <c r="AH76" s="136" t="s">
        <v>70</v>
      </c>
      <c r="AI76" s="136" t="s">
        <v>70</v>
      </c>
      <c r="AJ76" s="136" t="s">
        <v>70</v>
      </c>
      <c r="AK76" s="136" t="s">
        <v>70</v>
      </c>
      <c r="AL76" s="136" t="s">
        <v>70</v>
      </c>
      <c r="AM76" s="136" t="s">
        <v>70</v>
      </c>
      <c r="AN76" s="136" t="s">
        <v>70</v>
      </c>
      <c r="AO76" s="136" t="s">
        <v>70</v>
      </c>
      <c r="AP76" s="136" t="s">
        <v>70</v>
      </c>
      <c r="AQ76" s="136" t="s">
        <v>70</v>
      </c>
      <c r="AR76" s="136" t="s">
        <v>70</v>
      </c>
      <c r="AS76" s="136" t="s">
        <v>70</v>
      </c>
      <c r="AT76" s="136" t="s">
        <v>70</v>
      </c>
      <c r="AU76" s="136" t="s">
        <v>70</v>
      </c>
      <c r="AV76" s="136" t="s">
        <v>70</v>
      </c>
      <c r="AW76" s="136" t="s">
        <v>70</v>
      </c>
      <c r="AX76" s="136" t="s">
        <v>70</v>
      </c>
      <c r="AY76" s="136" t="s">
        <v>70</v>
      </c>
      <c r="AZ76" s="136" t="s">
        <v>70</v>
      </c>
      <c r="BA76" s="136" t="s">
        <v>70</v>
      </c>
      <c r="BB76" s="136" t="s">
        <v>70</v>
      </c>
      <c r="BC76" s="136" t="s">
        <v>70</v>
      </c>
      <c r="BD76" s="136" t="s">
        <v>70</v>
      </c>
      <c r="BE76" s="136" t="s">
        <v>714</v>
      </c>
      <c r="BF76" s="136" t="s">
        <v>70</v>
      </c>
      <c r="BG76" s="136" t="s">
        <v>714</v>
      </c>
      <c r="BH76" s="136" t="s">
        <v>714</v>
      </c>
      <c r="BI76" s="136" t="s">
        <v>70</v>
      </c>
      <c r="BJ76" s="136" t="s">
        <v>70</v>
      </c>
      <c r="BK76" s="136" t="s">
        <v>714</v>
      </c>
      <c r="BL76" s="136" t="s">
        <v>714</v>
      </c>
      <c r="BM76" s="136" t="s">
        <v>714</v>
      </c>
      <c r="BN76" s="136" t="s">
        <v>714</v>
      </c>
      <c r="BO76" s="136" t="s">
        <v>714</v>
      </c>
      <c r="BP76" s="136" t="s">
        <v>70</v>
      </c>
      <c r="BQ76" s="136" t="s">
        <v>714</v>
      </c>
      <c r="BR76" s="136" t="s">
        <v>714</v>
      </c>
      <c r="BS76" s="136" t="s">
        <v>714</v>
      </c>
      <c r="BT76" s="136" t="s">
        <v>714</v>
      </c>
      <c r="BU76" s="136" t="s">
        <v>70</v>
      </c>
      <c r="BV76" s="136" t="s">
        <v>714</v>
      </c>
      <c r="BW76" s="136" t="s">
        <v>714</v>
      </c>
      <c r="BX76" s="136" t="s">
        <v>714</v>
      </c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</row>
    <row r="77" spans="1:105" ht="14.25">
      <c r="A77" s="140" t="s">
        <v>1071</v>
      </c>
      <c r="B77" s="136" t="s">
        <v>1215</v>
      </c>
      <c r="C77" s="134" t="s">
        <v>1093</v>
      </c>
      <c r="D77" s="134" t="s">
        <v>1093</v>
      </c>
      <c r="E77" s="134" t="s">
        <v>1093</v>
      </c>
      <c r="F77" s="134" t="s">
        <v>1093</v>
      </c>
      <c r="G77" s="134" t="s">
        <v>1093</v>
      </c>
      <c r="H77" s="134" t="s">
        <v>1093</v>
      </c>
      <c r="I77" s="134" t="s">
        <v>1093</v>
      </c>
      <c r="J77" s="134" t="s">
        <v>1094</v>
      </c>
      <c r="K77" s="134" t="s">
        <v>1094</v>
      </c>
      <c r="L77" s="134" t="s">
        <v>1094</v>
      </c>
      <c r="M77" s="134" t="s">
        <v>1096</v>
      </c>
      <c r="N77" s="134" t="s">
        <v>1096</v>
      </c>
      <c r="O77" s="134" t="s">
        <v>1096</v>
      </c>
      <c r="P77" s="134" t="s">
        <v>1096</v>
      </c>
      <c r="Q77" s="134" t="s">
        <v>1096</v>
      </c>
      <c r="R77" s="134" t="s">
        <v>1240</v>
      </c>
      <c r="S77" s="134" t="s">
        <v>1240</v>
      </c>
      <c r="T77" s="134" t="s">
        <v>1240</v>
      </c>
      <c r="U77" s="134" t="s">
        <v>1240</v>
      </c>
      <c r="V77" s="134" t="s">
        <v>1240</v>
      </c>
      <c r="W77" s="134" t="s">
        <v>1240</v>
      </c>
      <c r="X77" s="134" t="s">
        <v>1240</v>
      </c>
      <c r="Y77" s="134" t="s">
        <v>1096</v>
      </c>
      <c r="Z77" s="134" t="s">
        <v>1240</v>
      </c>
      <c r="AA77" s="134" t="s">
        <v>1240</v>
      </c>
      <c r="AB77" s="134" t="s">
        <v>1240</v>
      </c>
      <c r="AC77" s="134" t="s">
        <v>1240</v>
      </c>
      <c r="AD77" s="134" t="s">
        <v>1240</v>
      </c>
      <c r="AE77" s="134" t="s">
        <v>1240</v>
      </c>
      <c r="AF77" s="134" t="s">
        <v>1240</v>
      </c>
      <c r="AG77" s="134" t="s">
        <v>39</v>
      </c>
      <c r="AH77" s="134" t="s">
        <v>1240</v>
      </c>
      <c r="AI77" s="134" t="s">
        <v>1240</v>
      </c>
      <c r="AJ77" s="134" t="s">
        <v>1240</v>
      </c>
      <c r="AK77" s="134" t="s">
        <v>1240</v>
      </c>
      <c r="AL77" s="134" t="s">
        <v>1240</v>
      </c>
      <c r="AM77" s="134" t="s">
        <v>1240</v>
      </c>
      <c r="AN77" s="134" t="s">
        <v>1240</v>
      </c>
      <c r="AO77" s="134" t="s">
        <v>1240</v>
      </c>
      <c r="AP77" s="134" t="s">
        <v>45</v>
      </c>
      <c r="AQ77" s="134" t="s">
        <v>45</v>
      </c>
      <c r="AR77" s="134" t="s">
        <v>46</v>
      </c>
      <c r="AS77" s="134" t="s">
        <v>45</v>
      </c>
      <c r="AT77" s="134" t="s">
        <v>46</v>
      </c>
      <c r="AU77" s="134" t="s">
        <v>46</v>
      </c>
      <c r="AV77" s="134" t="s">
        <v>48</v>
      </c>
      <c r="AW77" s="134" t="s">
        <v>48</v>
      </c>
      <c r="AX77" s="134" t="s">
        <v>48</v>
      </c>
      <c r="AY77" s="134" t="s">
        <v>56</v>
      </c>
      <c r="AZ77" s="134" t="s">
        <v>56</v>
      </c>
      <c r="BA77" s="134" t="s">
        <v>56</v>
      </c>
      <c r="BB77" s="134" t="s">
        <v>56</v>
      </c>
      <c r="BC77" s="134" t="s">
        <v>56</v>
      </c>
      <c r="BD77" s="134" t="s">
        <v>56</v>
      </c>
      <c r="BE77" s="134" t="s">
        <v>57</v>
      </c>
      <c r="BF77" s="134" t="s">
        <v>56</v>
      </c>
      <c r="BG77" s="134" t="s">
        <v>57</v>
      </c>
      <c r="BH77" s="134" t="s">
        <v>85</v>
      </c>
      <c r="BI77" s="134" t="s">
        <v>56</v>
      </c>
      <c r="BJ77" s="134" t="s">
        <v>56</v>
      </c>
      <c r="BK77" s="134" t="s">
        <v>57</v>
      </c>
      <c r="BL77" s="134" t="s">
        <v>57</v>
      </c>
      <c r="BM77" s="134" t="s">
        <v>200</v>
      </c>
      <c r="BN77" s="134" t="s">
        <v>201</v>
      </c>
      <c r="BO77" s="134" t="s">
        <v>85</v>
      </c>
      <c r="BP77" s="134" t="s">
        <v>56</v>
      </c>
      <c r="BQ77" s="134" t="s">
        <v>85</v>
      </c>
      <c r="BR77" s="134" t="s">
        <v>201</v>
      </c>
      <c r="BS77" s="134" t="s">
        <v>85</v>
      </c>
      <c r="BT77" s="134" t="s">
        <v>200</v>
      </c>
      <c r="BU77" s="134" t="s">
        <v>56</v>
      </c>
      <c r="BV77" s="134" t="s">
        <v>200</v>
      </c>
      <c r="BW77" s="134" t="s">
        <v>202</v>
      </c>
      <c r="BX77" s="134" t="s">
        <v>17</v>
      </c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</row>
    <row r="78" spans="1:105" ht="14.25">
      <c r="A78" s="133"/>
      <c r="B78" s="136" t="s">
        <v>70</v>
      </c>
      <c r="C78" s="136" t="s">
        <v>1235</v>
      </c>
      <c r="D78" s="136" t="s">
        <v>1235</v>
      </c>
      <c r="E78" s="136" t="s">
        <v>1235</v>
      </c>
      <c r="F78" s="136" t="s">
        <v>1235</v>
      </c>
      <c r="G78" s="136" t="s">
        <v>1235</v>
      </c>
      <c r="H78" s="136" t="s">
        <v>1235</v>
      </c>
      <c r="I78" s="136" t="s">
        <v>1235</v>
      </c>
      <c r="J78" s="136" t="s">
        <v>37</v>
      </c>
      <c r="K78" s="136" t="s">
        <v>37</v>
      </c>
      <c r="L78" s="136" t="s">
        <v>37</v>
      </c>
      <c r="M78" s="136" t="s">
        <v>50</v>
      </c>
      <c r="N78" s="136" t="s">
        <v>50</v>
      </c>
      <c r="O78" s="136" t="s">
        <v>50</v>
      </c>
      <c r="P78" s="136" t="s">
        <v>50</v>
      </c>
      <c r="Q78" s="136" t="s">
        <v>50</v>
      </c>
      <c r="R78" s="136" t="s">
        <v>210</v>
      </c>
      <c r="S78" s="136" t="s">
        <v>210</v>
      </c>
      <c r="T78" s="136" t="s">
        <v>210</v>
      </c>
      <c r="U78" s="136" t="s">
        <v>210</v>
      </c>
      <c r="V78" s="136" t="s">
        <v>210</v>
      </c>
      <c r="W78" s="136" t="s">
        <v>210</v>
      </c>
      <c r="X78" s="136" t="s">
        <v>210</v>
      </c>
      <c r="Y78" s="136" t="s">
        <v>50</v>
      </c>
      <c r="Z78" s="136" t="s">
        <v>210</v>
      </c>
      <c r="AA78" s="136" t="s">
        <v>210</v>
      </c>
      <c r="AB78" s="136" t="s">
        <v>210</v>
      </c>
      <c r="AC78" s="136" t="s">
        <v>210</v>
      </c>
      <c r="AD78" s="136" t="s">
        <v>210</v>
      </c>
      <c r="AE78" s="136" t="s">
        <v>210</v>
      </c>
      <c r="AF78" s="136" t="s">
        <v>210</v>
      </c>
      <c r="AG78" s="136" t="s">
        <v>993</v>
      </c>
      <c r="AH78" s="136" t="s">
        <v>210</v>
      </c>
      <c r="AI78" s="136" t="s">
        <v>210</v>
      </c>
      <c r="AJ78" s="136" t="s">
        <v>210</v>
      </c>
      <c r="AK78" s="136" t="s">
        <v>210</v>
      </c>
      <c r="AL78" s="136" t="s">
        <v>210</v>
      </c>
      <c r="AM78" s="136" t="s">
        <v>210</v>
      </c>
      <c r="AN78" s="136" t="s">
        <v>210</v>
      </c>
      <c r="AO78" s="136" t="s">
        <v>210</v>
      </c>
      <c r="AP78" s="136" t="s">
        <v>1069</v>
      </c>
      <c r="AQ78" s="136" t="s">
        <v>1069</v>
      </c>
      <c r="AR78" s="136" t="s">
        <v>704</v>
      </c>
      <c r="AS78" s="136" t="s">
        <v>1069</v>
      </c>
      <c r="AT78" s="136" t="s">
        <v>704</v>
      </c>
      <c r="AU78" s="136" t="s">
        <v>704</v>
      </c>
      <c r="AV78" s="136" t="s">
        <v>777</v>
      </c>
      <c r="AW78" s="136" t="s">
        <v>777</v>
      </c>
      <c r="AX78" s="136" t="s">
        <v>777</v>
      </c>
      <c r="AY78" s="136" t="s">
        <v>817</v>
      </c>
      <c r="AZ78" s="136" t="s">
        <v>817</v>
      </c>
      <c r="BA78" s="136" t="s">
        <v>817</v>
      </c>
      <c r="BB78" s="136" t="s">
        <v>817</v>
      </c>
      <c r="BC78" s="136" t="s">
        <v>817</v>
      </c>
      <c r="BD78" s="136" t="s">
        <v>817</v>
      </c>
      <c r="BE78" s="136" t="s">
        <v>161</v>
      </c>
      <c r="BF78" s="136" t="s">
        <v>817</v>
      </c>
      <c r="BG78" s="136" t="s">
        <v>161</v>
      </c>
      <c r="BH78" s="136" t="s">
        <v>900</v>
      </c>
      <c r="BI78" s="136" t="s">
        <v>817</v>
      </c>
      <c r="BJ78" s="136" t="s">
        <v>817</v>
      </c>
      <c r="BK78" s="136" t="s">
        <v>161</v>
      </c>
      <c r="BL78" s="136" t="s">
        <v>161</v>
      </c>
      <c r="BM78" s="136" t="s">
        <v>900</v>
      </c>
      <c r="BN78" s="136" t="s">
        <v>1107</v>
      </c>
      <c r="BO78" s="136" t="s">
        <v>53</v>
      </c>
      <c r="BP78" s="136" t="s">
        <v>817</v>
      </c>
      <c r="BQ78" s="136" t="s">
        <v>53</v>
      </c>
      <c r="BR78" s="136" t="s">
        <v>1107</v>
      </c>
      <c r="BS78" s="136" t="s">
        <v>53</v>
      </c>
      <c r="BT78" s="136" t="s">
        <v>937</v>
      </c>
      <c r="BU78" s="136" t="s">
        <v>817</v>
      </c>
      <c r="BV78" s="136" t="s">
        <v>937</v>
      </c>
      <c r="BW78" s="136" t="s">
        <v>127</v>
      </c>
      <c r="BX78" s="136" t="s">
        <v>137</v>
      </c>
      <c r="BY78" s="277"/>
      <c r="BZ78" s="277"/>
      <c r="CA78" s="277"/>
      <c r="CB78" s="277"/>
      <c r="CC78" s="277"/>
      <c r="CD78" s="277"/>
      <c r="CE78" s="277"/>
      <c r="CF78" s="277"/>
      <c r="CG78" s="277"/>
      <c r="CH78" s="277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</row>
    <row r="79" spans="1:105" ht="14.25">
      <c r="A79" s="140" t="s">
        <v>1072</v>
      </c>
      <c r="B79" s="136" t="s">
        <v>1215</v>
      </c>
      <c r="C79" s="136" t="s">
        <v>1215</v>
      </c>
      <c r="D79" s="136" t="s">
        <v>1215</v>
      </c>
      <c r="E79" s="136" t="s">
        <v>1215</v>
      </c>
      <c r="F79" s="136" t="s">
        <v>1215</v>
      </c>
      <c r="G79" s="136" t="s">
        <v>1215</v>
      </c>
      <c r="H79" s="136" t="s">
        <v>1215</v>
      </c>
      <c r="I79" s="136" t="s">
        <v>1215</v>
      </c>
      <c r="J79" s="136" t="s">
        <v>1215</v>
      </c>
      <c r="K79" s="136" t="s">
        <v>1215</v>
      </c>
      <c r="L79" s="136" t="s">
        <v>1215</v>
      </c>
      <c r="M79" s="136" t="s">
        <v>1215</v>
      </c>
      <c r="N79" s="134" t="s">
        <v>1096</v>
      </c>
      <c r="O79" s="134" t="s">
        <v>1096</v>
      </c>
      <c r="P79" s="134" t="s">
        <v>1096</v>
      </c>
      <c r="Q79" s="134" t="s">
        <v>1096</v>
      </c>
      <c r="R79" s="134" t="s">
        <v>1096</v>
      </c>
      <c r="S79" s="134" t="s">
        <v>1096</v>
      </c>
      <c r="T79" s="134" t="s">
        <v>1096</v>
      </c>
      <c r="U79" s="134" t="s">
        <v>1096</v>
      </c>
      <c r="V79" s="134" t="s">
        <v>1096</v>
      </c>
      <c r="W79" s="134" t="s">
        <v>1096</v>
      </c>
      <c r="X79" s="134" t="s">
        <v>1096</v>
      </c>
      <c r="Y79" s="134" t="s">
        <v>1096</v>
      </c>
      <c r="Z79" s="134" t="s">
        <v>1096</v>
      </c>
      <c r="AA79" s="134" t="s">
        <v>1096</v>
      </c>
      <c r="AB79" s="134" t="s">
        <v>1096</v>
      </c>
      <c r="AC79" s="134" t="s">
        <v>1096</v>
      </c>
      <c r="AD79" s="134" t="s">
        <v>1096</v>
      </c>
      <c r="AE79" s="134" t="s">
        <v>1096</v>
      </c>
      <c r="AF79" s="134" t="s">
        <v>1096</v>
      </c>
      <c r="AG79" s="136" t="s">
        <v>1215</v>
      </c>
      <c r="AH79" s="134" t="s">
        <v>1096</v>
      </c>
      <c r="AI79" s="134" t="s">
        <v>1096</v>
      </c>
      <c r="AJ79" s="134" t="s">
        <v>1096</v>
      </c>
      <c r="AK79" s="134" t="s">
        <v>1096</v>
      </c>
      <c r="AL79" s="134" t="s">
        <v>1096</v>
      </c>
      <c r="AM79" s="134" t="s">
        <v>1096</v>
      </c>
      <c r="AN79" s="134" t="s">
        <v>1096</v>
      </c>
      <c r="AO79" s="134" t="s">
        <v>1096</v>
      </c>
      <c r="AP79" s="134" t="s">
        <v>45</v>
      </c>
      <c r="AQ79" s="134" t="s">
        <v>45</v>
      </c>
      <c r="AR79" s="134" t="s">
        <v>46</v>
      </c>
      <c r="AS79" s="134" t="s">
        <v>45</v>
      </c>
      <c r="AT79" s="134" t="s">
        <v>46</v>
      </c>
      <c r="AU79" s="134" t="s">
        <v>46</v>
      </c>
      <c r="AV79" s="134" t="s">
        <v>48</v>
      </c>
      <c r="AW79" s="134" t="s">
        <v>48</v>
      </c>
      <c r="AX79" s="134" t="s">
        <v>48</v>
      </c>
      <c r="AY79" s="134" t="s">
        <v>48</v>
      </c>
      <c r="AZ79" s="134" t="s">
        <v>48</v>
      </c>
      <c r="BA79" s="134" t="s">
        <v>48</v>
      </c>
      <c r="BB79" s="134" t="s">
        <v>56</v>
      </c>
      <c r="BC79" s="134" t="s">
        <v>56</v>
      </c>
      <c r="BD79" s="134" t="s">
        <v>56</v>
      </c>
      <c r="BE79" s="134" t="s">
        <v>56</v>
      </c>
      <c r="BF79" s="134" t="s">
        <v>56</v>
      </c>
      <c r="BG79" s="134" t="s">
        <v>56</v>
      </c>
      <c r="BH79" s="134" t="s">
        <v>56</v>
      </c>
      <c r="BI79" s="134" t="s">
        <v>56</v>
      </c>
      <c r="BJ79" s="134" t="s">
        <v>56</v>
      </c>
      <c r="BK79" s="134" t="s">
        <v>56</v>
      </c>
      <c r="BL79" s="134" t="s">
        <v>56</v>
      </c>
      <c r="BM79" s="134" t="s">
        <v>200</v>
      </c>
      <c r="BN79" s="134" t="s">
        <v>200</v>
      </c>
      <c r="BO79" s="134" t="s">
        <v>56</v>
      </c>
      <c r="BP79" s="134" t="s">
        <v>56</v>
      </c>
      <c r="BQ79" s="134" t="s">
        <v>56</v>
      </c>
      <c r="BR79" s="134" t="s">
        <v>200</v>
      </c>
      <c r="BS79" s="134" t="s">
        <v>56</v>
      </c>
      <c r="BT79" s="134" t="s">
        <v>56</v>
      </c>
      <c r="BU79" s="134" t="s">
        <v>56</v>
      </c>
      <c r="BV79" s="134" t="s">
        <v>56</v>
      </c>
      <c r="BW79" s="134" t="s">
        <v>200</v>
      </c>
      <c r="BX79" s="134" t="s">
        <v>200</v>
      </c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</row>
    <row r="80" spans="1:105" ht="14.25">
      <c r="A80" s="133"/>
      <c r="B80" s="136" t="s">
        <v>70</v>
      </c>
      <c r="C80" s="136" t="s">
        <v>70</v>
      </c>
      <c r="D80" s="136" t="s">
        <v>70</v>
      </c>
      <c r="E80" s="136" t="s">
        <v>70</v>
      </c>
      <c r="F80" s="136" t="s">
        <v>70</v>
      </c>
      <c r="G80" s="136" t="s">
        <v>70</v>
      </c>
      <c r="H80" s="136" t="s">
        <v>70</v>
      </c>
      <c r="I80" s="136" t="s">
        <v>70</v>
      </c>
      <c r="J80" s="136" t="s">
        <v>70</v>
      </c>
      <c r="K80" s="136" t="s">
        <v>70</v>
      </c>
      <c r="L80" s="136" t="s">
        <v>47</v>
      </c>
      <c r="M80" s="136" t="s">
        <v>47</v>
      </c>
      <c r="N80" s="136" t="s">
        <v>50</v>
      </c>
      <c r="O80" s="136" t="s">
        <v>50</v>
      </c>
      <c r="P80" s="136" t="s">
        <v>50</v>
      </c>
      <c r="Q80" s="136" t="s">
        <v>50</v>
      </c>
      <c r="R80" s="136" t="s">
        <v>50</v>
      </c>
      <c r="S80" s="136" t="s">
        <v>50</v>
      </c>
      <c r="T80" s="136" t="s">
        <v>50</v>
      </c>
      <c r="U80" s="136" t="s">
        <v>50</v>
      </c>
      <c r="V80" s="136" t="s">
        <v>50</v>
      </c>
      <c r="W80" s="136" t="s">
        <v>50</v>
      </c>
      <c r="X80" s="136" t="s">
        <v>50</v>
      </c>
      <c r="Y80" s="136" t="s">
        <v>50</v>
      </c>
      <c r="Z80" s="136" t="s">
        <v>50</v>
      </c>
      <c r="AA80" s="136" t="s">
        <v>50</v>
      </c>
      <c r="AB80" s="136" t="s">
        <v>50</v>
      </c>
      <c r="AC80" s="136" t="s">
        <v>50</v>
      </c>
      <c r="AD80" s="136" t="s">
        <v>50</v>
      </c>
      <c r="AE80" s="136" t="s">
        <v>50</v>
      </c>
      <c r="AF80" s="136" t="s">
        <v>50</v>
      </c>
      <c r="AG80" s="136" t="s">
        <v>70</v>
      </c>
      <c r="AH80" s="136" t="s">
        <v>50</v>
      </c>
      <c r="AI80" s="136" t="s">
        <v>50</v>
      </c>
      <c r="AJ80" s="136" t="s">
        <v>50</v>
      </c>
      <c r="AK80" s="136" t="s">
        <v>50</v>
      </c>
      <c r="AL80" s="136" t="s">
        <v>50</v>
      </c>
      <c r="AM80" s="136" t="s">
        <v>50</v>
      </c>
      <c r="AN80" s="136" t="s">
        <v>50</v>
      </c>
      <c r="AO80" s="136" t="s">
        <v>50</v>
      </c>
      <c r="AP80" s="136" t="s">
        <v>1069</v>
      </c>
      <c r="AQ80" s="136" t="s">
        <v>1069</v>
      </c>
      <c r="AR80" s="136" t="s">
        <v>704</v>
      </c>
      <c r="AS80" s="136" t="s">
        <v>1069</v>
      </c>
      <c r="AT80" s="136" t="s">
        <v>704</v>
      </c>
      <c r="AU80" s="136" t="s">
        <v>704</v>
      </c>
      <c r="AV80" s="136" t="s">
        <v>777</v>
      </c>
      <c r="AW80" s="136" t="s">
        <v>777</v>
      </c>
      <c r="AX80" s="136" t="s">
        <v>777</v>
      </c>
      <c r="AY80" s="136" t="s">
        <v>777</v>
      </c>
      <c r="AZ80" s="136" t="s">
        <v>777</v>
      </c>
      <c r="BA80" s="136" t="s">
        <v>777</v>
      </c>
      <c r="BB80" s="136" t="s">
        <v>817</v>
      </c>
      <c r="BC80" s="136" t="s">
        <v>817</v>
      </c>
      <c r="BD80" s="136" t="s">
        <v>817</v>
      </c>
      <c r="BE80" s="136" t="s">
        <v>817</v>
      </c>
      <c r="BF80" s="136" t="s">
        <v>817</v>
      </c>
      <c r="BG80" s="136" t="s">
        <v>817</v>
      </c>
      <c r="BH80" s="136" t="s">
        <v>817</v>
      </c>
      <c r="BI80" s="136" t="s">
        <v>817</v>
      </c>
      <c r="BJ80" s="136" t="s">
        <v>817</v>
      </c>
      <c r="BK80" s="136" t="s">
        <v>817</v>
      </c>
      <c r="BL80" s="136" t="s">
        <v>817</v>
      </c>
      <c r="BM80" s="136" t="s">
        <v>900</v>
      </c>
      <c r="BN80" s="136" t="s">
        <v>900</v>
      </c>
      <c r="BO80" s="136" t="s">
        <v>817</v>
      </c>
      <c r="BP80" s="136" t="s">
        <v>817</v>
      </c>
      <c r="BQ80" s="136" t="s">
        <v>817</v>
      </c>
      <c r="BR80" s="136" t="s">
        <v>900</v>
      </c>
      <c r="BS80" s="136" t="s">
        <v>817</v>
      </c>
      <c r="BT80" s="136" t="s">
        <v>817</v>
      </c>
      <c r="BU80" s="136" t="s">
        <v>817</v>
      </c>
      <c r="BV80" s="136" t="s">
        <v>817</v>
      </c>
      <c r="BW80" s="136" t="s">
        <v>900</v>
      </c>
      <c r="BX80" s="136" t="s">
        <v>900</v>
      </c>
      <c r="BY80" s="277"/>
      <c r="BZ80" s="277"/>
      <c r="CA80" s="277"/>
      <c r="CB80" s="277"/>
      <c r="CC80" s="277"/>
      <c r="CD80" s="277"/>
      <c r="CE80" s="277"/>
      <c r="CF80" s="277"/>
      <c r="CG80" s="277"/>
      <c r="CH80" s="277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</row>
    <row r="81" spans="1:105" ht="14.25">
      <c r="A81" s="140" t="s">
        <v>1086</v>
      </c>
      <c r="B81" s="136" t="s">
        <v>1215</v>
      </c>
      <c r="C81" s="136" t="s">
        <v>1215</v>
      </c>
      <c r="D81" s="136" t="s">
        <v>1215</v>
      </c>
      <c r="E81" s="136" t="s">
        <v>1215</v>
      </c>
      <c r="F81" s="136" t="s">
        <v>1215</v>
      </c>
      <c r="G81" s="136" t="s">
        <v>1215</v>
      </c>
      <c r="H81" s="136" t="s">
        <v>1215</v>
      </c>
      <c r="I81" s="136" t="s">
        <v>1215</v>
      </c>
      <c r="J81" s="136" t="s">
        <v>1215</v>
      </c>
      <c r="K81" s="136" t="s">
        <v>1215</v>
      </c>
      <c r="L81" s="136" t="s">
        <v>1215</v>
      </c>
      <c r="M81" s="136" t="s">
        <v>1215</v>
      </c>
      <c r="N81" s="136" t="s">
        <v>1215</v>
      </c>
      <c r="O81" s="136" t="s">
        <v>1215</v>
      </c>
      <c r="P81" s="134" t="s">
        <v>1096</v>
      </c>
      <c r="Q81" s="134" t="s">
        <v>1096</v>
      </c>
      <c r="R81" s="134" t="s">
        <v>1096</v>
      </c>
      <c r="S81" s="134" t="s">
        <v>1096</v>
      </c>
      <c r="T81" s="134" t="s">
        <v>1096</v>
      </c>
      <c r="U81" s="134" t="s">
        <v>1096</v>
      </c>
      <c r="V81" s="134" t="s">
        <v>1096</v>
      </c>
      <c r="W81" s="134" t="s">
        <v>1096</v>
      </c>
      <c r="X81" s="134" t="s">
        <v>1096</v>
      </c>
      <c r="Y81" s="134" t="s">
        <v>1096</v>
      </c>
      <c r="Z81" s="134" t="s">
        <v>1096</v>
      </c>
      <c r="AA81" s="134" t="s">
        <v>1096</v>
      </c>
      <c r="AB81" s="134" t="s">
        <v>1096</v>
      </c>
      <c r="AC81" s="134" t="s">
        <v>1096</v>
      </c>
      <c r="AD81" s="134" t="s">
        <v>1096</v>
      </c>
      <c r="AE81" s="134" t="s">
        <v>1096</v>
      </c>
      <c r="AF81" s="134" t="s">
        <v>1096</v>
      </c>
      <c r="AG81" s="136" t="s">
        <v>1215</v>
      </c>
      <c r="AH81" s="134" t="s">
        <v>1096</v>
      </c>
      <c r="AI81" s="134" t="s">
        <v>1096</v>
      </c>
      <c r="AJ81" s="134" t="s">
        <v>1096</v>
      </c>
      <c r="AK81" s="134" t="s">
        <v>1096</v>
      </c>
      <c r="AL81" s="134" t="s">
        <v>1096</v>
      </c>
      <c r="AM81" s="134" t="s">
        <v>1096</v>
      </c>
      <c r="AN81" s="134" t="s">
        <v>1096</v>
      </c>
      <c r="AO81" s="134" t="s">
        <v>1096</v>
      </c>
      <c r="AP81" s="134" t="s">
        <v>45</v>
      </c>
      <c r="AQ81" s="134" t="s">
        <v>45</v>
      </c>
      <c r="AR81" s="134" t="s">
        <v>45</v>
      </c>
      <c r="AS81" s="134" t="s">
        <v>45</v>
      </c>
      <c r="AT81" s="134" t="s">
        <v>46</v>
      </c>
      <c r="AU81" s="134" t="s">
        <v>46</v>
      </c>
      <c r="AV81" s="134" t="s">
        <v>46</v>
      </c>
      <c r="AW81" s="134" t="s">
        <v>46</v>
      </c>
      <c r="AX81" s="134" t="s">
        <v>46</v>
      </c>
      <c r="AY81" s="134" t="s">
        <v>46</v>
      </c>
      <c r="AZ81" s="134" t="s">
        <v>48</v>
      </c>
      <c r="BA81" s="134" t="s">
        <v>56</v>
      </c>
      <c r="BB81" s="134" t="s">
        <v>56</v>
      </c>
      <c r="BC81" s="134" t="s">
        <v>56</v>
      </c>
      <c r="BD81" s="134" t="s">
        <v>56</v>
      </c>
      <c r="BE81" s="134" t="s">
        <v>56</v>
      </c>
      <c r="BF81" s="134" t="s">
        <v>56</v>
      </c>
      <c r="BG81" s="134" t="s">
        <v>56</v>
      </c>
      <c r="BH81" s="134" t="s">
        <v>56</v>
      </c>
      <c r="BI81" s="134" t="s">
        <v>56</v>
      </c>
      <c r="BJ81" s="134" t="s">
        <v>56</v>
      </c>
      <c r="BK81" s="134" t="s">
        <v>56</v>
      </c>
      <c r="BL81" s="134" t="s">
        <v>56</v>
      </c>
      <c r="BM81" s="134" t="s">
        <v>56</v>
      </c>
      <c r="BN81" s="134" t="s">
        <v>56</v>
      </c>
      <c r="BO81" s="134" t="s">
        <v>56</v>
      </c>
      <c r="BP81" s="134" t="s">
        <v>56</v>
      </c>
      <c r="BQ81" s="134" t="s">
        <v>56</v>
      </c>
      <c r="BR81" s="134" t="s">
        <v>56</v>
      </c>
      <c r="BS81" s="134" t="s">
        <v>56</v>
      </c>
      <c r="BT81" s="134" t="s">
        <v>56</v>
      </c>
      <c r="BU81" s="134" t="s">
        <v>56</v>
      </c>
      <c r="BV81" s="134" t="s">
        <v>56</v>
      </c>
      <c r="BW81" s="134" t="s">
        <v>56</v>
      </c>
      <c r="BX81" s="134" t="s">
        <v>56</v>
      </c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</row>
    <row r="82" spans="1:105" ht="14.25">
      <c r="A82" s="133"/>
      <c r="B82" s="136" t="s">
        <v>70</v>
      </c>
      <c r="C82" s="136" t="s">
        <v>70</v>
      </c>
      <c r="D82" s="136" t="s">
        <v>70</v>
      </c>
      <c r="E82" s="136" t="s">
        <v>70</v>
      </c>
      <c r="F82" s="136" t="s">
        <v>70</v>
      </c>
      <c r="G82" s="136" t="s">
        <v>70</v>
      </c>
      <c r="H82" s="136" t="s">
        <v>70</v>
      </c>
      <c r="I82" s="136" t="s">
        <v>70</v>
      </c>
      <c r="J82" s="136" t="s">
        <v>70</v>
      </c>
      <c r="K82" s="136" t="s">
        <v>70</v>
      </c>
      <c r="L82" s="136" t="s">
        <v>47</v>
      </c>
      <c r="M82" s="136" t="s">
        <v>47</v>
      </c>
      <c r="N82" s="136" t="s">
        <v>47</v>
      </c>
      <c r="O82" s="136" t="s">
        <v>47</v>
      </c>
      <c r="P82" s="136" t="s">
        <v>50</v>
      </c>
      <c r="Q82" s="136" t="s">
        <v>50</v>
      </c>
      <c r="R82" s="136" t="s">
        <v>50</v>
      </c>
      <c r="S82" s="136" t="s">
        <v>50</v>
      </c>
      <c r="T82" s="136" t="s">
        <v>50</v>
      </c>
      <c r="U82" s="136" t="s">
        <v>50</v>
      </c>
      <c r="V82" s="136" t="s">
        <v>50</v>
      </c>
      <c r="W82" s="136" t="s">
        <v>50</v>
      </c>
      <c r="X82" s="136" t="s">
        <v>50</v>
      </c>
      <c r="Y82" s="136" t="s">
        <v>50</v>
      </c>
      <c r="Z82" s="136" t="s">
        <v>50</v>
      </c>
      <c r="AA82" s="136" t="s">
        <v>50</v>
      </c>
      <c r="AB82" s="136" t="s">
        <v>50</v>
      </c>
      <c r="AC82" s="136" t="s">
        <v>50</v>
      </c>
      <c r="AD82" s="136" t="s">
        <v>50</v>
      </c>
      <c r="AE82" s="136" t="s">
        <v>50</v>
      </c>
      <c r="AF82" s="136" t="s">
        <v>50</v>
      </c>
      <c r="AG82" s="136" t="s">
        <v>70</v>
      </c>
      <c r="AH82" s="136" t="s">
        <v>50</v>
      </c>
      <c r="AI82" s="136" t="s">
        <v>50</v>
      </c>
      <c r="AJ82" s="136" t="s">
        <v>50</v>
      </c>
      <c r="AK82" s="136" t="s">
        <v>50</v>
      </c>
      <c r="AL82" s="136" t="s">
        <v>50</v>
      </c>
      <c r="AM82" s="136" t="s">
        <v>50</v>
      </c>
      <c r="AN82" s="136" t="s">
        <v>50</v>
      </c>
      <c r="AO82" s="136" t="s">
        <v>50</v>
      </c>
      <c r="AP82" s="136" t="s">
        <v>1069</v>
      </c>
      <c r="AQ82" s="136" t="s">
        <v>1069</v>
      </c>
      <c r="AR82" s="136" t="s">
        <v>1069</v>
      </c>
      <c r="AS82" s="136" t="s">
        <v>1069</v>
      </c>
      <c r="AT82" s="136" t="s">
        <v>704</v>
      </c>
      <c r="AU82" s="136" t="s">
        <v>704</v>
      </c>
      <c r="AV82" s="136" t="s">
        <v>704</v>
      </c>
      <c r="AW82" s="136" t="s">
        <v>704</v>
      </c>
      <c r="AX82" s="136" t="s">
        <v>704</v>
      </c>
      <c r="AY82" s="136" t="s">
        <v>704</v>
      </c>
      <c r="AZ82" s="136" t="s">
        <v>777</v>
      </c>
      <c r="BA82" s="136" t="s">
        <v>817</v>
      </c>
      <c r="BB82" s="136" t="s">
        <v>817</v>
      </c>
      <c r="BC82" s="136" t="s">
        <v>817</v>
      </c>
      <c r="BD82" s="136" t="s">
        <v>817</v>
      </c>
      <c r="BE82" s="136" t="s">
        <v>817</v>
      </c>
      <c r="BF82" s="136" t="s">
        <v>817</v>
      </c>
      <c r="BG82" s="136" t="s">
        <v>817</v>
      </c>
      <c r="BH82" s="136" t="s">
        <v>817</v>
      </c>
      <c r="BI82" s="136" t="s">
        <v>817</v>
      </c>
      <c r="BJ82" s="136" t="s">
        <v>817</v>
      </c>
      <c r="BK82" s="136" t="s">
        <v>817</v>
      </c>
      <c r="BL82" s="136" t="s">
        <v>817</v>
      </c>
      <c r="BM82" s="136" t="s">
        <v>817</v>
      </c>
      <c r="BN82" s="136" t="s">
        <v>817</v>
      </c>
      <c r="BO82" s="136" t="s">
        <v>817</v>
      </c>
      <c r="BP82" s="136" t="s">
        <v>817</v>
      </c>
      <c r="BQ82" s="136" t="s">
        <v>817</v>
      </c>
      <c r="BR82" s="136" t="s">
        <v>817</v>
      </c>
      <c r="BS82" s="136" t="s">
        <v>817</v>
      </c>
      <c r="BT82" s="136" t="s">
        <v>817</v>
      </c>
      <c r="BU82" s="136" t="s">
        <v>817</v>
      </c>
      <c r="BV82" s="136" t="s">
        <v>817</v>
      </c>
      <c r="BW82" s="136" t="s">
        <v>817</v>
      </c>
      <c r="BX82" s="136" t="s">
        <v>817</v>
      </c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</row>
    <row r="83" spans="1:105" ht="14.25">
      <c r="A83" s="140" t="s">
        <v>168</v>
      </c>
      <c r="B83" s="136" t="s">
        <v>1215</v>
      </c>
      <c r="C83" s="136" t="s">
        <v>1215</v>
      </c>
      <c r="D83" s="136" t="s">
        <v>1215</v>
      </c>
      <c r="E83" s="136" t="s">
        <v>1215</v>
      </c>
      <c r="F83" s="136" t="s">
        <v>1215</v>
      </c>
      <c r="G83" s="136" t="s">
        <v>1215</v>
      </c>
      <c r="H83" s="136" t="s">
        <v>1215</v>
      </c>
      <c r="I83" s="136" t="s">
        <v>1215</v>
      </c>
      <c r="J83" s="136" t="s">
        <v>1215</v>
      </c>
      <c r="K83" s="136" t="s">
        <v>1215</v>
      </c>
      <c r="L83" s="136" t="s">
        <v>1215</v>
      </c>
      <c r="M83" s="136" t="s">
        <v>1215</v>
      </c>
      <c r="N83" s="136" t="s">
        <v>1215</v>
      </c>
      <c r="O83" s="136" t="s">
        <v>1215</v>
      </c>
      <c r="P83" s="136" t="s">
        <v>1215</v>
      </c>
      <c r="Q83" s="136" t="s">
        <v>1215</v>
      </c>
      <c r="R83" s="136" t="s">
        <v>1215</v>
      </c>
      <c r="S83" s="136" t="s">
        <v>1215</v>
      </c>
      <c r="T83" s="136" t="s">
        <v>1215</v>
      </c>
      <c r="U83" s="136" t="s">
        <v>1215</v>
      </c>
      <c r="V83" s="136" t="s">
        <v>1215</v>
      </c>
      <c r="W83" s="136" t="s">
        <v>1215</v>
      </c>
      <c r="X83" s="136" t="s">
        <v>1215</v>
      </c>
      <c r="Y83" s="136" t="s">
        <v>1215</v>
      </c>
      <c r="Z83" s="136" t="s">
        <v>1215</v>
      </c>
      <c r="AA83" s="136" t="s">
        <v>1215</v>
      </c>
      <c r="AB83" s="136" t="s">
        <v>1215</v>
      </c>
      <c r="AC83" s="136" t="s">
        <v>1215</v>
      </c>
      <c r="AD83" s="136" t="s">
        <v>1215</v>
      </c>
      <c r="AE83" s="136" t="s">
        <v>1215</v>
      </c>
      <c r="AF83" s="136" t="s">
        <v>1215</v>
      </c>
      <c r="AG83" s="136" t="s">
        <v>1215</v>
      </c>
      <c r="AH83" s="136" t="s">
        <v>1215</v>
      </c>
      <c r="AI83" s="136" t="s">
        <v>1215</v>
      </c>
      <c r="AJ83" s="136" t="s">
        <v>1215</v>
      </c>
      <c r="AK83" s="136" t="s">
        <v>1215</v>
      </c>
      <c r="AL83" s="136" t="s">
        <v>1215</v>
      </c>
      <c r="AM83" s="136" t="s">
        <v>1215</v>
      </c>
      <c r="AN83" s="136" t="s">
        <v>1215</v>
      </c>
      <c r="AO83" s="136" t="s">
        <v>1215</v>
      </c>
      <c r="AP83" s="136" t="s">
        <v>1215</v>
      </c>
      <c r="AQ83" s="136" t="s">
        <v>1215</v>
      </c>
      <c r="AR83" s="136" t="s">
        <v>1215</v>
      </c>
      <c r="AS83" s="136" t="s">
        <v>1215</v>
      </c>
      <c r="AT83" s="136" t="s">
        <v>1215</v>
      </c>
      <c r="AU83" s="136" t="s">
        <v>1215</v>
      </c>
      <c r="AV83" s="136" t="s">
        <v>1215</v>
      </c>
      <c r="AW83" s="136" t="s">
        <v>1215</v>
      </c>
      <c r="AX83" s="136" t="s">
        <v>1215</v>
      </c>
      <c r="AY83" s="136" t="s">
        <v>1215</v>
      </c>
      <c r="AZ83" s="136" t="s">
        <v>1215</v>
      </c>
      <c r="BA83" s="136" t="s">
        <v>1215</v>
      </c>
      <c r="BB83" s="136" t="s">
        <v>1215</v>
      </c>
      <c r="BC83" s="136" t="s">
        <v>1215</v>
      </c>
      <c r="BD83" s="136" t="s">
        <v>1215</v>
      </c>
      <c r="BE83" s="136" t="s">
        <v>1215</v>
      </c>
      <c r="BF83" s="136" t="s">
        <v>1215</v>
      </c>
      <c r="BG83" s="136" t="s">
        <v>1215</v>
      </c>
      <c r="BH83" s="136" t="s">
        <v>1215</v>
      </c>
      <c r="BI83" s="136" t="s">
        <v>1215</v>
      </c>
      <c r="BJ83" s="136" t="s">
        <v>1215</v>
      </c>
      <c r="BK83" s="136" t="s">
        <v>1215</v>
      </c>
      <c r="BL83" s="134" t="s">
        <v>57</v>
      </c>
      <c r="BM83" s="136" t="s">
        <v>1215</v>
      </c>
      <c r="BN83" s="136" t="s">
        <v>1215</v>
      </c>
      <c r="BO83" s="134" t="s">
        <v>85</v>
      </c>
      <c r="BP83" s="136" t="s">
        <v>1215</v>
      </c>
      <c r="BQ83" s="134" t="s">
        <v>85</v>
      </c>
      <c r="BR83" s="136" t="s">
        <v>1215</v>
      </c>
      <c r="BS83" s="134" t="s">
        <v>85</v>
      </c>
      <c r="BT83" s="134" t="s">
        <v>200</v>
      </c>
      <c r="BU83" s="136" t="s">
        <v>1215</v>
      </c>
      <c r="BV83" s="134" t="s">
        <v>200</v>
      </c>
      <c r="BW83" s="136" t="s">
        <v>1215</v>
      </c>
      <c r="BX83" s="134" t="s">
        <v>200</v>
      </c>
      <c r="BY83" s="277"/>
      <c r="BZ83" s="277"/>
      <c r="CA83" s="277"/>
      <c r="CB83" s="277"/>
      <c r="CC83" s="277"/>
      <c r="CD83" s="277"/>
      <c r="CE83" s="277"/>
      <c r="CF83" s="277"/>
      <c r="CG83" s="277"/>
      <c r="CH83" s="277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</row>
    <row r="84" spans="1:105" ht="14.25">
      <c r="A84" s="140"/>
      <c r="B84" s="136" t="s">
        <v>70</v>
      </c>
      <c r="C84" s="136" t="s">
        <v>70</v>
      </c>
      <c r="D84" s="136" t="s">
        <v>70</v>
      </c>
      <c r="E84" s="136" t="s">
        <v>70</v>
      </c>
      <c r="F84" s="136" t="s">
        <v>70</v>
      </c>
      <c r="G84" s="136" t="s">
        <v>70</v>
      </c>
      <c r="H84" s="136" t="s">
        <v>70</v>
      </c>
      <c r="I84" s="136" t="s">
        <v>70</v>
      </c>
      <c r="J84" s="136" t="s">
        <v>70</v>
      </c>
      <c r="K84" s="136" t="s">
        <v>70</v>
      </c>
      <c r="L84" s="136" t="s">
        <v>47</v>
      </c>
      <c r="M84" s="136" t="s">
        <v>47</v>
      </c>
      <c r="N84" s="136" t="s">
        <v>47</v>
      </c>
      <c r="O84" s="136" t="s">
        <v>47</v>
      </c>
      <c r="P84" s="136" t="s">
        <v>47</v>
      </c>
      <c r="Q84" s="136" t="s">
        <v>47</v>
      </c>
      <c r="R84" s="136" t="s">
        <v>47</v>
      </c>
      <c r="S84" s="136" t="s">
        <v>47</v>
      </c>
      <c r="T84" s="136" t="s">
        <v>47</v>
      </c>
      <c r="U84" s="136" t="s">
        <v>47</v>
      </c>
      <c r="V84" s="136" t="s">
        <v>47</v>
      </c>
      <c r="W84" s="136" t="s">
        <v>47</v>
      </c>
      <c r="X84" s="136" t="s">
        <v>47</v>
      </c>
      <c r="Y84" s="136" t="s">
        <v>47</v>
      </c>
      <c r="Z84" s="136" t="s">
        <v>47</v>
      </c>
      <c r="AA84" s="136" t="s">
        <v>47</v>
      </c>
      <c r="AB84" s="136" t="s">
        <v>47</v>
      </c>
      <c r="AC84" s="136" t="s">
        <v>47</v>
      </c>
      <c r="AD84" s="136" t="s">
        <v>47</v>
      </c>
      <c r="AE84" s="136" t="s">
        <v>47</v>
      </c>
      <c r="AF84" s="136" t="s">
        <v>47</v>
      </c>
      <c r="AG84" s="136" t="s">
        <v>47</v>
      </c>
      <c r="AH84" s="136" t="s">
        <v>47</v>
      </c>
      <c r="AI84" s="136" t="s">
        <v>47</v>
      </c>
      <c r="AJ84" s="136" t="s">
        <v>47</v>
      </c>
      <c r="AK84" s="136" t="s">
        <v>47</v>
      </c>
      <c r="AL84" s="136" t="s">
        <v>47</v>
      </c>
      <c r="AM84" s="136" t="s">
        <v>47</v>
      </c>
      <c r="AN84" s="136" t="s">
        <v>47</v>
      </c>
      <c r="AO84" s="136" t="s">
        <v>47</v>
      </c>
      <c r="AP84" s="136" t="s">
        <v>47</v>
      </c>
      <c r="AQ84" s="136" t="s">
        <v>47</v>
      </c>
      <c r="AR84" s="136" t="s">
        <v>47</v>
      </c>
      <c r="AS84" s="136" t="s">
        <v>47</v>
      </c>
      <c r="AT84" s="136" t="s">
        <v>47</v>
      </c>
      <c r="AU84" s="136" t="s">
        <v>47</v>
      </c>
      <c r="AV84" s="136" t="s">
        <v>47</v>
      </c>
      <c r="AW84" s="136" t="s">
        <v>47</v>
      </c>
      <c r="AX84" s="136" t="s">
        <v>47</v>
      </c>
      <c r="AY84" s="136" t="s">
        <v>47</v>
      </c>
      <c r="AZ84" s="136" t="s">
        <v>47</v>
      </c>
      <c r="BA84" s="136" t="s">
        <v>47</v>
      </c>
      <c r="BB84" s="136" t="s">
        <v>47</v>
      </c>
      <c r="BC84" s="136" t="s">
        <v>47</v>
      </c>
      <c r="BD84" s="136" t="s">
        <v>47</v>
      </c>
      <c r="BE84" s="136" t="s">
        <v>714</v>
      </c>
      <c r="BF84" s="136" t="s">
        <v>47</v>
      </c>
      <c r="BG84" s="136" t="s">
        <v>714</v>
      </c>
      <c r="BH84" s="136" t="s">
        <v>714</v>
      </c>
      <c r="BI84" s="136" t="s">
        <v>47</v>
      </c>
      <c r="BJ84" s="136" t="s">
        <v>47</v>
      </c>
      <c r="BK84" s="136" t="s">
        <v>714</v>
      </c>
      <c r="BL84" s="136" t="s">
        <v>161</v>
      </c>
      <c r="BM84" s="136" t="s">
        <v>714</v>
      </c>
      <c r="BN84" s="136" t="s">
        <v>714</v>
      </c>
      <c r="BO84" s="136" t="s">
        <v>53</v>
      </c>
      <c r="BP84" s="136" t="s">
        <v>47</v>
      </c>
      <c r="BQ84" s="136" t="s">
        <v>53</v>
      </c>
      <c r="BR84" s="136" t="s">
        <v>714</v>
      </c>
      <c r="BS84" s="136" t="s">
        <v>53</v>
      </c>
      <c r="BT84" s="136" t="s">
        <v>937</v>
      </c>
      <c r="BU84" s="136" t="s">
        <v>47</v>
      </c>
      <c r="BV84" s="136" t="s">
        <v>937</v>
      </c>
      <c r="BW84" s="136" t="s">
        <v>714</v>
      </c>
      <c r="BX84" s="136" t="s">
        <v>937</v>
      </c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</row>
    <row r="85" spans="1:105" ht="14.25">
      <c r="A85" s="140" t="s">
        <v>20</v>
      </c>
      <c r="B85" s="136" t="s">
        <v>1215</v>
      </c>
      <c r="C85" s="136" t="s">
        <v>1215</v>
      </c>
      <c r="D85" s="136" t="s">
        <v>1215</v>
      </c>
      <c r="E85" s="136" t="s">
        <v>1215</v>
      </c>
      <c r="F85" s="136" t="s">
        <v>1215</v>
      </c>
      <c r="G85" s="136" t="s">
        <v>1215</v>
      </c>
      <c r="H85" s="136" t="s">
        <v>1215</v>
      </c>
      <c r="I85" s="134" t="s">
        <v>1093</v>
      </c>
      <c r="J85" s="134" t="s">
        <v>1093</v>
      </c>
      <c r="K85" s="134" t="s">
        <v>1093</v>
      </c>
      <c r="L85" s="134" t="s">
        <v>1093</v>
      </c>
      <c r="M85" s="134" t="s">
        <v>1093</v>
      </c>
      <c r="N85" s="134" t="s">
        <v>1093</v>
      </c>
      <c r="O85" s="134" t="s">
        <v>1093</v>
      </c>
      <c r="P85" s="134" t="s">
        <v>1093</v>
      </c>
      <c r="Q85" s="134" t="s">
        <v>1093</v>
      </c>
      <c r="R85" s="134" t="s">
        <v>1093</v>
      </c>
      <c r="S85" s="134" t="s">
        <v>1093</v>
      </c>
      <c r="T85" s="134" t="s">
        <v>1096</v>
      </c>
      <c r="U85" s="134" t="s">
        <v>1096</v>
      </c>
      <c r="V85" s="134" t="s">
        <v>1096</v>
      </c>
      <c r="W85" s="134" t="s">
        <v>1096</v>
      </c>
      <c r="X85" s="134" t="s">
        <v>1096</v>
      </c>
      <c r="Y85" s="134" t="s">
        <v>1096</v>
      </c>
      <c r="Z85" s="134" t="s">
        <v>1096</v>
      </c>
      <c r="AA85" s="134" t="s">
        <v>1096</v>
      </c>
      <c r="AB85" s="134" t="s">
        <v>1096</v>
      </c>
      <c r="AC85" s="134" t="s">
        <v>1096</v>
      </c>
      <c r="AD85" s="134" t="s">
        <v>1096</v>
      </c>
      <c r="AE85" s="134" t="s">
        <v>1096</v>
      </c>
      <c r="AF85" s="134" t="s">
        <v>1096</v>
      </c>
      <c r="AG85" s="136" t="s">
        <v>1215</v>
      </c>
      <c r="AH85" s="134" t="s">
        <v>1096</v>
      </c>
      <c r="AI85" s="134" t="s">
        <v>1096</v>
      </c>
      <c r="AJ85" s="134" t="s">
        <v>1096</v>
      </c>
      <c r="AK85" s="134" t="s">
        <v>1096</v>
      </c>
      <c r="AL85" s="134" t="s">
        <v>1240</v>
      </c>
      <c r="AM85" s="134" t="s">
        <v>1240</v>
      </c>
      <c r="AN85" s="134" t="s">
        <v>1240</v>
      </c>
      <c r="AO85" s="134" t="s">
        <v>1240</v>
      </c>
      <c r="AP85" s="134" t="s">
        <v>1240</v>
      </c>
      <c r="AQ85" s="134" t="s">
        <v>1240</v>
      </c>
      <c r="AR85" s="134" t="s">
        <v>1240</v>
      </c>
      <c r="AS85" s="134" t="s">
        <v>1240</v>
      </c>
      <c r="AT85" s="134" t="s">
        <v>1240</v>
      </c>
      <c r="AU85" s="134" t="s">
        <v>1240</v>
      </c>
      <c r="AV85" s="134" t="s">
        <v>1240</v>
      </c>
      <c r="AW85" s="134" t="s">
        <v>1240</v>
      </c>
      <c r="AX85" s="134" t="s">
        <v>1240</v>
      </c>
      <c r="AY85" s="134" t="s">
        <v>1240</v>
      </c>
      <c r="AZ85" s="134" t="s">
        <v>1240</v>
      </c>
      <c r="BA85" s="134" t="s">
        <v>1240</v>
      </c>
      <c r="BB85" s="134" t="s">
        <v>56</v>
      </c>
      <c r="BC85" s="134" t="s">
        <v>56</v>
      </c>
      <c r="BD85" s="134" t="s">
        <v>56</v>
      </c>
      <c r="BE85" s="134" t="s">
        <v>56</v>
      </c>
      <c r="BF85" s="134" t="s">
        <v>56</v>
      </c>
      <c r="BG85" s="134" t="s">
        <v>56</v>
      </c>
      <c r="BH85" s="134" t="s">
        <v>56</v>
      </c>
      <c r="BI85" s="134" t="s">
        <v>56</v>
      </c>
      <c r="BJ85" s="134" t="s">
        <v>56</v>
      </c>
      <c r="BK85" s="134" t="s">
        <v>56</v>
      </c>
      <c r="BL85" s="134" t="s">
        <v>56</v>
      </c>
      <c r="BM85" s="134" t="s">
        <v>56</v>
      </c>
      <c r="BN85" s="134" t="s">
        <v>56</v>
      </c>
      <c r="BO85" s="134" t="s">
        <v>56</v>
      </c>
      <c r="BP85" s="134" t="s">
        <v>56</v>
      </c>
      <c r="BQ85" s="134" t="s">
        <v>56</v>
      </c>
      <c r="BR85" s="134" t="s">
        <v>56</v>
      </c>
      <c r="BS85" s="134" t="s">
        <v>56</v>
      </c>
      <c r="BT85" s="134" t="s">
        <v>56</v>
      </c>
      <c r="BU85" s="134" t="s">
        <v>56</v>
      </c>
      <c r="BV85" s="134" t="s">
        <v>56</v>
      </c>
      <c r="BW85" s="134" t="s">
        <v>56</v>
      </c>
      <c r="BX85" s="134" t="s">
        <v>56</v>
      </c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</row>
    <row r="86" spans="1:105" ht="14.25">
      <c r="A86" s="133"/>
      <c r="B86" s="136" t="s">
        <v>70</v>
      </c>
      <c r="C86" s="136" t="s">
        <v>70</v>
      </c>
      <c r="D86" s="136" t="s">
        <v>70</v>
      </c>
      <c r="E86" s="136" t="s">
        <v>70</v>
      </c>
      <c r="F86" s="136" t="s">
        <v>70</v>
      </c>
      <c r="G86" s="136" t="s">
        <v>70</v>
      </c>
      <c r="H86" s="136" t="s">
        <v>70</v>
      </c>
      <c r="I86" s="136" t="s">
        <v>1235</v>
      </c>
      <c r="J86" s="136" t="s">
        <v>1235</v>
      </c>
      <c r="K86" s="136" t="s">
        <v>1235</v>
      </c>
      <c r="L86" s="136" t="s">
        <v>1235</v>
      </c>
      <c r="M86" s="136" t="s">
        <v>1235</v>
      </c>
      <c r="N86" s="136" t="s">
        <v>1235</v>
      </c>
      <c r="O86" s="136" t="s">
        <v>1235</v>
      </c>
      <c r="P86" s="136" t="s">
        <v>1235</v>
      </c>
      <c r="Q86" s="136" t="s">
        <v>1235</v>
      </c>
      <c r="R86" s="136" t="s">
        <v>1235</v>
      </c>
      <c r="S86" s="136" t="s">
        <v>1235</v>
      </c>
      <c r="T86" s="136" t="s">
        <v>50</v>
      </c>
      <c r="U86" s="136" t="s">
        <v>50</v>
      </c>
      <c r="V86" s="136" t="s">
        <v>50</v>
      </c>
      <c r="W86" s="136" t="s">
        <v>50</v>
      </c>
      <c r="X86" s="136" t="s">
        <v>50</v>
      </c>
      <c r="Y86" s="136" t="s">
        <v>50</v>
      </c>
      <c r="Z86" s="136" t="s">
        <v>50</v>
      </c>
      <c r="AA86" s="136" t="s">
        <v>50</v>
      </c>
      <c r="AB86" s="136" t="s">
        <v>50</v>
      </c>
      <c r="AC86" s="136" t="s">
        <v>50</v>
      </c>
      <c r="AD86" s="136" t="s">
        <v>50</v>
      </c>
      <c r="AE86" s="136" t="s">
        <v>50</v>
      </c>
      <c r="AF86" s="136" t="s">
        <v>50</v>
      </c>
      <c r="AG86" s="136" t="s">
        <v>70</v>
      </c>
      <c r="AH86" s="136" t="s">
        <v>50</v>
      </c>
      <c r="AI86" s="136" t="s">
        <v>50</v>
      </c>
      <c r="AJ86" s="136" t="s">
        <v>50</v>
      </c>
      <c r="AK86" s="136" t="s">
        <v>50</v>
      </c>
      <c r="AL86" s="136" t="s">
        <v>210</v>
      </c>
      <c r="AM86" s="136" t="s">
        <v>210</v>
      </c>
      <c r="AN86" s="136" t="s">
        <v>210</v>
      </c>
      <c r="AO86" s="136" t="s">
        <v>210</v>
      </c>
      <c r="AP86" s="136" t="s">
        <v>210</v>
      </c>
      <c r="AQ86" s="136" t="s">
        <v>210</v>
      </c>
      <c r="AR86" s="136" t="s">
        <v>210</v>
      </c>
      <c r="AS86" s="136" t="s">
        <v>210</v>
      </c>
      <c r="AT86" s="136" t="s">
        <v>210</v>
      </c>
      <c r="AU86" s="136" t="s">
        <v>210</v>
      </c>
      <c r="AV86" s="136" t="s">
        <v>210</v>
      </c>
      <c r="AW86" s="136" t="s">
        <v>210</v>
      </c>
      <c r="AX86" s="136" t="s">
        <v>210</v>
      </c>
      <c r="AY86" s="136" t="s">
        <v>210</v>
      </c>
      <c r="AZ86" s="136" t="s">
        <v>210</v>
      </c>
      <c r="BA86" s="136" t="s">
        <v>210</v>
      </c>
      <c r="BB86" s="136" t="s">
        <v>817</v>
      </c>
      <c r="BC86" s="136" t="s">
        <v>817</v>
      </c>
      <c r="BD86" s="136" t="s">
        <v>817</v>
      </c>
      <c r="BE86" s="136" t="s">
        <v>817</v>
      </c>
      <c r="BF86" s="136" t="s">
        <v>817</v>
      </c>
      <c r="BG86" s="136" t="s">
        <v>817</v>
      </c>
      <c r="BH86" s="136" t="s">
        <v>817</v>
      </c>
      <c r="BI86" s="136" t="s">
        <v>817</v>
      </c>
      <c r="BJ86" s="136" t="s">
        <v>817</v>
      </c>
      <c r="BK86" s="136" t="s">
        <v>817</v>
      </c>
      <c r="BL86" s="136" t="s">
        <v>817</v>
      </c>
      <c r="BM86" s="136" t="s">
        <v>817</v>
      </c>
      <c r="BN86" s="136" t="s">
        <v>817</v>
      </c>
      <c r="BO86" s="136" t="s">
        <v>817</v>
      </c>
      <c r="BP86" s="136" t="s">
        <v>817</v>
      </c>
      <c r="BQ86" s="136" t="s">
        <v>817</v>
      </c>
      <c r="BR86" s="136" t="s">
        <v>817</v>
      </c>
      <c r="BS86" s="136" t="s">
        <v>817</v>
      </c>
      <c r="BT86" s="136" t="s">
        <v>817</v>
      </c>
      <c r="BU86" s="136" t="s">
        <v>817</v>
      </c>
      <c r="BV86" s="136" t="s">
        <v>817</v>
      </c>
      <c r="BW86" s="136" t="s">
        <v>817</v>
      </c>
      <c r="BX86" s="136" t="s">
        <v>817</v>
      </c>
      <c r="BY86" s="277"/>
      <c r="BZ86" s="277"/>
      <c r="CA86" s="277"/>
      <c r="CB86" s="277"/>
      <c r="CC86" s="277"/>
      <c r="CD86" s="277"/>
      <c r="CE86" s="277"/>
      <c r="CF86" s="277"/>
      <c r="CG86" s="277"/>
      <c r="CH86" s="277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</row>
    <row r="87" spans="1:105" ht="14.25">
      <c r="A87" s="140" t="s">
        <v>54</v>
      </c>
      <c r="B87" s="136" t="s">
        <v>1215</v>
      </c>
      <c r="C87" s="136" t="s">
        <v>1215</v>
      </c>
      <c r="D87" s="136" t="s">
        <v>1215</v>
      </c>
      <c r="E87" s="136" t="s">
        <v>1215</v>
      </c>
      <c r="F87" s="136" t="s">
        <v>1215</v>
      </c>
      <c r="G87" s="136" t="s">
        <v>1215</v>
      </c>
      <c r="H87" s="136" t="s">
        <v>1215</v>
      </c>
      <c r="I87" s="136" t="s">
        <v>1215</v>
      </c>
      <c r="J87" s="136" t="s">
        <v>1215</v>
      </c>
      <c r="K87" s="136" t="s">
        <v>1215</v>
      </c>
      <c r="L87" s="136" t="s">
        <v>1215</v>
      </c>
      <c r="M87" s="136" t="s">
        <v>1215</v>
      </c>
      <c r="N87" s="136" t="s">
        <v>1215</v>
      </c>
      <c r="O87" s="136" t="s">
        <v>1215</v>
      </c>
      <c r="P87" s="136" t="s">
        <v>1215</v>
      </c>
      <c r="Q87" s="136" t="s">
        <v>1215</v>
      </c>
      <c r="R87" s="136" t="s">
        <v>1215</v>
      </c>
      <c r="S87" s="136" t="s">
        <v>1215</v>
      </c>
      <c r="T87" s="136" t="s">
        <v>1215</v>
      </c>
      <c r="U87" s="136" t="s">
        <v>1215</v>
      </c>
      <c r="V87" s="136" t="s">
        <v>1215</v>
      </c>
      <c r="W87" s="136" t="s">
        <v>1215</v>
      </c>
      <c r="X87" s="136" t="s">
        <v>1215</v>
      </c>
      <c r="Y87" s="136" t="s">
        <v>1215</v>
      </c>
      <c r="Z87" s="136" t="s">
        <v>1215</v>
      </c>
      <c r="AA87" s="136" t="s">
        <v>1215</v>
      </c>
      <c r="AB87" s="136" t="s">
        <v>1215</v>
      </c>
      <c r="AC87" s="136" t="s">
        <v>1215</v>
      </c>
      <c r="AD87" s="136" t="s">
        <v>1215</v>
      </c>
      <c r="AE87" s="136" t="s">
        <v>1215</v>
      </c>
      <c r="AF87" s="136" t="s">
        <v>1215</v>
      </c>
      <c r="AG87" s="136" t="s">
        <v>1215</v>
      </c>
      <c r="AH87" s="136" t="s">
        <v>1215</v>
      </c>
      <c r="AI87" s="136" t="s">
        <v>1215</v>
      </c>
      <c r="AJ87" s="136" t="s">
        <v>1215</v>
      </c>
      <c r="AK87" s="136" t="s">
        <v>1215</v>
      </c>
      <c r="AL87" s="136" t="s">
        <v>1215</v>
      </c>
      <c r="AM87" s="136" t="s">
        <v>1215</v>
      </c>
      <c r="AN87" s="136" t="s">
        <v>1215</v>
      </c>
      <c r="AO87" s="136" t="s">
        <v>1215</v>
      </c>
      <c r="AP87" s="136" t="s">
        <v>1215</v>
      </c>
      <c r="AQ87" s="136" t="s">
        <v>1215</v>
      </c>
      <c r="AR87" s="136" t="s">
        <v>1215</v>
      </c>
      <c r="AS87" s="136" t="s">
        <v>1215</v>
      </c>
      <c r="AT87" s="136" t="s">
        <v>1215</v>
      </c>
      <c r="AU87" s="136" t="s">
        <v>1215</v>
      </c>
      <c r="AV87" s="136" t="s">
        <v>1215</v>
      </c>
      <c r="AW87" s="136" t="s">
        <v>1215</v>
      </c>
      <c r="AX87" s="136" t="s">
        <v>1215</v>
      </c>
      <c r="AY87" s="136" t="s">
        <v>1215</v>
      </c>
      <c r="AZ87" s="136" t="s">
        <v>1215</v>
      </c>
      <c r="BA87" s="136" t="s">
        <v>1215</v>
      </c>
      <c r="BB87" s="136" t="s">
        <v>1215</v>
      </c>
      <c r="BC87" s="136" t="s">
        <v>1215</v>
      </c>
      <c r="BD87" s="136" t="s">
        <v>1215</v>
      </c>
      <c r="BE87" s="136" t="s">
        <v>1215</v>
      </c>
      <c r="BF87" s="136" t="s">
        <v>1215</v>
      </c>
      <c r="BG87" s="136" t="s">
        <v>1215</v>
      </c>
      <c r="BH87" s="136" t="s">
        <v>1215</v>
      </c>
      <c r="BI87" s="136" t="s">
        <v>1215</v>
      </c>
      <c r="BJ87" s="136" t="s">
        <v>1215</v>
      </c>
      <c r="BK87" s="136" t="s">
        <v>1215</v>
      </c>
      <c r="BL87" s="136" t="s">
        <v>1215</v>
      </c>
      <c r="BM87" s="136" t="s">
        <v>1215</v>
      </c>
      <c r="BN87" s="136" t="s">
        <v>1215</v>
      </c>
      <c r="BO87" s="138" t="str">
        <f>IF(AND(Configurator!$E$5&lt;7,Configurator!$D$5&lt;8),"P","*")</f>
        <v>P</v>
      </c>
      <c r="BP87" s="136" t="s">
        <v>1215</v>
      </c>
      <c r="BQ87" s="138" t="str">
        <f>IF(AND(Configurator!$E$5&lt;7,Configurator!$D$5&lt;8),"P","*")</f>
        <v>P</v>
      </c>
      <c r="BR87" s="136" t="s">
        <v>1215</v>
      </c>
      <c r="BS87" s="138" t="str">
        <f>IF(AND(Configurator!$E$5&lt;7,Configurator!$D$5&lt;8),"P","*")</f>
        <v>P</v>
      </c>
      <c r="BT87" s="138" t="str">
        <f>IF(AND(Configurator!$E$5&lt;7,Configurator!$D$5&lt;8),"Q","*")</f>
        <v>Q</v>
      </c>
      <c r="BU87" s="136" t="s">
        <v>1215</v>
      </c>
      <c r="BV87" s="138" t="str">
        <f>IF(AND(Configurator!$E$5&lt;7,Configurator!$D$5&lt;8),"Q","*")</f>
        <v>Q</v>
      </c>
      <c r="BW87" s="136" t="s">
        <v>1215</v>
      </c>
      <c r="BX87" s="138" t="str">
        <f>IF(AND(Configurator!$E$5&lt;7,Configurator!$D$5&lt;8),"Q","*")</f>
        <v>Q</v>
      </c>
      <c r="BY87" s="277"/>
      <c r="BZ87" s="277"/>
      <c r="CA87" s="277"/>
      <c r="CB87" s="277"/>
      <c r="CC87" s="277"/>
      <c r="CD87" s="277"/>
      <c r="CE87" s="277"/>
      <c r="CF87" s="277"/>
      <c r="CG87" s="277"/>
      <c r="CH87" s="277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</row>
    <row r="88" spans="1:105" ht="14.25">
      <c r="A88" s="133"/>
      <c r="B88" s="136" t="s">
        <v>714</v>
      </c>
      <c r="C88" s="136" t="s">
        <v>714</v>
      </c>
      <c r="D88" s="136" t="s">
        <v>714</v>
      </c>
      <c r="E88" s="136" t="s">
        <v>714</v>
      </c>
      <c r="F88" s="136" t="s">
        <v>714</v>
      </c>
      <c r="G88" s="136" t="s">
        <v>714</v>
      </c>
      <c r="H88" s="136" t="s">
        <v>714</v>
      </c>
      <c r="I88" s="136" t="s">
        <v>714</v>
      </c>
      <c r="J88" s="136" t="s">
        <v>714</v>
      </c>
      <c r="K88" s="136" t="s">
        <v>714</v>
      </c>
      <c r="L88" s="136" t="s">
        <v>714</v>
      </c>
      <c r="M88" s="136" t="s">
        <v>714</v>
      </c>
      <c r="N88" s="136" t="s">
        <v>714</v>
      </c>
      <c r="O88" s="136" t="s">
        <v>714</v>
      </c>
      <c r="P88" s="136" t="s">
        <v>714</v>
      </c>
      <c r="Q88" s="136" t="s">
        <v>714</v>
      </c>
      <c r="R88" s="136" t="s">
        <v>714</v>
      </c>
      <c r="S88" s="136" t="s">
        <v>714</v>
      </c>
      <c r="T88" s="136" t="s">
        <v>714</v>
      </c>
      <c r="U88" s="136" t="s">
        <v>714</v>
      </c>
      <c r="V88" s="136" t="s">
        <v>714</v>
      </c>
      <c r="W88" s="136" t="s">
        <v>714</v>
      </c>
      <c r="X88" s="136" t="s">
        <v>714</v>
      </c>
      <c r="Y88" s="136" t="s">
        <v>714</v>
      </c>
      <c r="Z88" s="136" t="s">
        <v>714</v>
      </c>
      <c r="AA88" s="136" t="s">
        <v>714</v>
      </c>
      <c r="AB88" s="136" t="s">
        <v>714</v>
      </c>
      <c r="AC88" s="136" t="s">
        <v>714</v>
      </c>
      <c r="AD88" s="136" t="s">
        <v>714</v>
      </c>
      <c r="AE88" s="136" t="s">
        <v>714</v>
      </c>
      <c r="AF88" s="136" t="s">
        <v>714</v>
      </c>
      <c r="AG88" s="136" t="s">
        <v>714</v>
      </c>
      <c r="AH88" s="136" t="s">
        <v>714</v>
      </c>
      <c r="AI88" s="136" t="s">
        <v>714</v>
      </c>
      <c r="AJ88" s="136" t="s">
        <v>714</v>
      </c>
      <c r="AK88" s="136" t="s">
        <v>714</v>
      </c>
      <c r="AL88" s="136" t="s">
        <v>714</v>
      </c>
      <c r="AM88" s="136" t="s">
        <v>714</v>
      </c>
      <c r="AN88" s="136" t="s">
        <v>714</v>
      </c>
      <c r="AO88" s="136" t="s">
        <v>714</v>
      </c>
      <c r="AP88" s="136" t="s">
        <v>714</v>
      </c>
      <c r="AQ88" s="136" t="s">
        <v>714</v>
      </c>
      <c r="AR88" s="136" t="s">
        <v>714</v>
      </c>
      <c r="AS88" s="136" t="s">
        <v>714</v>
      </c>
      <c r="AT88" s="136" t="s">
        <v>714</v>
      </c>
      <c r="AU88" s="136" t="s">
        <v>714</v>
      </c>
      <c r="AV88" s="136" t="s">
        <v>714</v>
      </c>
      <c r="AW88" s="136" t="s">
        <v>714</v>
      </c>
      <c r="AX88" s="136" t="s">
        <v>714</v>
      </c>
      <c r="AY88" s="136" t="s">
        <v>714</v>
      </c>
      <c r="AZ88" s="136" t="s">
        <v>714</v>
      </c>
      <c r="BA88" s="136" t="s">
        <v>714</v>
      </c>
      <c r="BB88" s="136" t="s">
        <v>714</v>
      </c>
      <c r="BC88" s="136" t="s">
        <v>714</v>
      </c>
      <c r="BD88" s="136" t="s">
        <v>714</v>
      </c>
      <c r="BE88" s="136" t="s">
        <v>714</v>
      </c>
      <c r="BF88" s="136" t="s">
        <v>714</v>
      </c>
      <c r="BG88" s="136" t="s">
        <v>714</v>
      </c>
      <c r="BH88" s="136" t="s">
        <v>714</v>
      </c>
      <c r="BI88" s="136" t="s">
        <v>714</v>
      </c>
      <c r="BJ88" s="136" t="s">
        <v>714</v>
      </c>
      <c r="BK88" s="136" t="s">
        <v>714</v>
      </c>
      <c r="BL88" s="136" t="s">
        <v>714</v>
      </c>
      <c r="BM88" s="136" t="s">
        <v>714</v>
      </c>
      <c r="BN88" s="136" t="s">
        <v>714</v>
      </c>
      <c r="BO88" s="138" t="str">
        <f>IF(AND(Configurator!$E$5&lt;7,Configurator!$D$5&lt;8),"-631","-6**")</f>
        <v>-631</v>
      </c>
      <c r="BP88" s="136" t="s">
        <v>714</v>
      </c>
      <c r="BQ88" s="138" t="str">
        <f>IF(AND(Configurator!$E$5&lt;7,Configurator!$D$5&lt;8),"-631","-6**")</f>
        <v>-631</v>
      </c>
      <c r="BR88" s="136" t="s">
        <v>714</v>
      </c>
      <c r="BS88" s="138" t="str">
        <f>IF(AND(Configurator!$E$5&lt;7,Configurator!$D$5&lt;8),"-631","-6**")</f>
        <v>-631</v>
      </c>
      <c r="BT88" s="138" t="str">
        <f>IF(AND(Configurator!$E$5&lt;7,Configurator!$D$5&lt;8),"-632","-6**")</f>
        <v>-632</v>
      </c>
      <c r="BU88" s="136" t="s">
        <v>714</v>
      </c>
      <c r="BV88" s="138" t="str">
        <f>IF(AND(Configurator!$E$5&lt;7,Configurator!$D$5&lt;8),"-632","-6**")</f>
        <v>-632</v>
      </c>
      <c r="BW88" s="136" t="s">
        <v>714</v>
      </c>
      <c r="BX88" s="138" t="str">
        <f>IF(AND(Configurator!$E$5&lt;7,Configurator!$D$5&lt;8),"-632","-6**")</f>
        <v>-632</v>
      </c>
      <c r="BY88" s="277"/>
      <c r="BZ88" s="277"/>
      <c r="CA88" s="277"/>
      <c r="CB88" s="277"/>
      <c r="CC88" s="277"/>
      <c r="CD88" s="277"/>
      <c r="CE88" s="277"/>
      <c r="CF88" s="277"/>
      <c r="CG88" s="277"/>
      <c r="CH88" s="277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</row>
    <row r="89" spans="1:105" ht="15">
      <c r="A89" s="135" t="s">
        <v>1207</v>
      </c>
      <c r="B89" s="136" t="s">
        <v>1073</v>
      </c>
      <c r="C89" s="136" t="s">
        <v>1073</v>
      </c>
      <c r="D89" s="136" t="s">
        <v>1073</v>
      </c>
      <c r="E89" s="136" t="s">
        <v>1073</v>
      </c>
      <c r="F89" s="136" t="s">
        <v>1073</v>
      </c>
      <c r="G89" s="136" t="s">
        <v>1073</v>
      </c>
      <c r="H89" s="136" t="s">
        <v>1073</v>
      </c>
      <c r="I89" s="136" t="s">
        <v>1073</v>
      </c>
      <c r="J89" s="136" t="s">
        <v>1073</v>
      </c>
      <c r="K89" s="136" t="s">
        <v>1073</v>
      </c>
      <c r="L89" s="136" t="s">
        <v>1073</v>
      </c>
      <c r="M89" s="136" t="s">
        <v>1073</v>
      </c>
      <c r="N89" s="136" t="s">
        <v>1073</v>
      </c>
      <c r="O89" s="136" t="s">
        <v>1073</v>
      </c>
      <c r="P89" s="136" t="s">
        <v>1073</v>
      </c>
      <c r="Q89" s="136" t="s">
        <v>1073</v>
      </c>
      <c r="R89" s="136" t="s">
        <v>1073</v>
      </c>
      <c r="S89" s="136" t="s">
        <v>1073</v>
      </c>
      <c r="T89" s="136" t="s">
        <v>1073</v>
      </c>
      <c r="U89" s="136" t="s">
        <v>1073</v>
      </c>
      <c r="V89" s="136" t="s">
        <v>1073</v>
      </c>
      <c r="W89" s="136" t="s">
        <v>1073</v>
      </c>
      <c r="X89" s="136" t="s">
        <v>1073</v>
      </c>
      <c r="Y89" s="136" t="s">
        <v>1073</v>
      </c>
      <c r="Z89" s="136" t="s">
        <v>1073</v>
      </c>
      <c r="AA89" s="136" t="s">
        <v>1073</v>
      </c>
      <c r="AB89" s="136" t="s">
        <v>1073</v>
      </c>
      <c r="AC89" s="136" t="s">
        <v>1073</v>
      </c>
      <c r="AD89" s="136" t="s">
        <v>1073</v>
      </c>
      <c r="AE89" s="136" t="s">
        <v>1073</v>
      </c>
      <c r="AF89" s="136" t="s">
        <v>1073</v>
      </c>
      <c r="AG89" s="136" t="s">
        <v>1073</v>
      </c>
      <c r="AH89" s="136" t="s">
        <v>1073</v>
      </c>
      <c r="AI89" s="136" t="s">
        <v>1073</v>
      </c>
      <c r="AJ89" s="136" t="s">
        <v>1073</v>
      </c>
      <c r="AK89" s="136" t="s">
        <v>1073</v>
      </c>
      <c r="AL89" s="136" t="s">
        <v>1073</v>
      </c>
      <c r="AM89" s="136" t="s">
        <v>1073</v>
      </c>
      <c r="AN89" s="136" t="s">
        <v>1073</v>
      </c>
      <c r="AO89" s="136" t="s">
        <v>1073</v>
      </c>
      <c r="AP89" s="136" t="s">
        <v>1073</v>
      </c>
      <c r="AQ89" s="136" t="s">
        <v>1073</v>
      </c>
      <c r="AR89" s="136" t="s">
        <v>1073</v>
      </c>
      <c r="AS89" s="136" t="s">
        <v>1073</v>
      </c>
      <c r="AT89" s="136" t="s">
        <v>1073</v>
      </c>
      <c r="AU89" s="136" t="s">
        <v>1073</v>
      </c>
      <c r="AV89" s="136" t="s">
        <v>1073</v>
      </c>
      <c r="AW89" s="136" t="s">
        <v>1073</v>
      </c>
      <c r="AX89" s="136" t="s">
        <v>1073</v>
      </c>
      <c r="AY89" s="136" t="s">
        <v>1073</v>
      </c>
      <c r="AZ89" s="136" t="s">
        <v>1073</v>
      </c>
      <c r="BA89" s="136" t="s">
        <v>1073</v>
      </c>
      <c r="BB89" s="136" t="s">
        <v>1073</v>
      </c>
      <c r="BC89" s="136" t="s">
        <v>1073</v>
      </c>
      <c r="BD89" s="136" t="s">
        <v>1073</v>
      </c>
      <c r="BE89" s="136" t="s">
        <v>1073</v>
      </c>
      <c r="BF89" s="136" t="s">
        <v>1073</v>
      </c>
      <c r="BG89" s="136" t="s">
        <v>1073</v>
      </c>
      <c r="BH89" s="136" t="s">
        <v>1073</v>
      </c>
      <c r="BI89" s="136" t="s">
        <v>1073</v>
      </c>
      <c r="BJ89" s="136" t="s">
        <v>1073</v>
      </c>
      <c r="BK89" s="136" t="s">
        <v>1073</v>
      </c>
      <c r="BL89" s="136" t="s">
        <v>1073</v>
      </c>
      <c r="BM89" s="136" t="s">
        <v>1073</v>
      </c>
      <c r="BN89" s="136" t="s">
        <v>1073</v>
      </c>
      <c r="BO89" s="136" t="s">
        <v>1073</v>
      </c>
      <c r="BP89" s="136" t="s">
        <v>1073</v>
      </c>
      <c r="BQ89" s="136" t="s">
        <v>1073</v>
      </c>
      <c r="BR89" s="136" t="s">
        <v>1073</v>
      </c>
      <c r="BS89" s="136" t="s">
        <v>1073</v>
      </c>
      <c r="BT89" s="136" t="s">
        <v>1073</v>
      </c>
      <c r="BU89" s="136" t="s">
        <v>1073</v>
      </c>
      <c r="BV89" s="136" t="s">
        <v>1073</v>
      </c>
      <c r="BW89" s="136" t="s">
        <v>1073</v>
      </c>
      <c r="BX89" s="136" t="s">
        <v>1073</v>
      </c>
      <c r="BY89" s="277"/>
      <c r="BZ89" s="277"/>
      <c r="CA89" s="277"/>
      <c r="CB89" s="277"/>
      <c r="CC89" s="277"/>
      <c r="CD89" s="277"/>
      <c r="CE89" s="277"/>
      <c r="CF89" s="277"/>
      <c r="CG89" s="277"/>
      <c r="CH89" s="277"/>
      <c r="CI89" s="129" t="s">
        <v>1073</v>
      </c>
      <c r="CJ89" s="129" t="s">
        <v>1073</v>
      </c>
      <c r="CK89" s="129" t="s">
        <v>1073</v>
      </c>
      <c r="CL89" s="129" t="s">
        <v>1073</v>
      </c>
      <c r="CM89" s="129" t="s">
        <v>1073</v>
      </c>
      <c r="CN89" s="129" t="s">
        <v>1073</v>
      </c>
      <c r="CO89" s="129" t="s">
        <v>1073</v>
      </c>
      <c r="CP89" s="129" t="s">
        <v>1073</v>
      </c>
      <c r="CQ89" s="129" t="s">
        <v>1073</v>
      </c>
      <c r="CR89" s="129" t="s">
        <v>1073</v>
      </c>
      <c r="CS89" s="129" t="s">
        <v>1073</v>
      </c>
      <c r="CT89" s="129" t="s">
        <v>1073</v>
      </c>
      <c r="CU89" s="129" t="s">
        <v>1073</v>
      </c>
      <c r="CV89" s="129" t="s">
        <v>1073</v>
      </c>
      <c r="CW89" s="129" t="s">
        <v>1073</v>
      </c>
      <c r="CX89" s="129" t="s">
        <v>1073</v>
      </c>
      <c r="CY89" s="129" t="s">
        <v>1073</v>
      </c>
      <c r="CZ89" s="129" t="s">
        <v>1073</v>
      </c>
      <c r="DA89" s="129" t="s">
        <v>1073</v>
      </c>
    </row>
    <row r="90" spans="1:105" ht="14.25">
      <c r="A90" s="140" t="s">
        <v>1070</v>
      </c>
      <c r="B90" s="136" t="s">
        <v>1073</v>
      </c>
      <c r="C90" s="136" t="s">
        <v>1073</v>
      </c>
      <c r="D90" s="136" t="s">
        <v>1073</v>
      </c>
      <c r="E90" s="136" t="s">
        <v>1073</v>
      </c>
      <c r="F90" s="134" t="s">
        <v>1091</v>
      </c>
      <c r="G90" s="134" t="s">
        <v>1093</v>
      </c>
      <c r="H90" s="134" t="s">
        <v>1093</v>
      </c>
      <c r="I90" s="134" t="s">
        <v>1093</v>
      </c>
      <c r="J90" s="134" t="s">
        <v>1093</v>
      </c>
      <c r="K90" s="136" t="s">
        <v>1073</v>
      </c>
      <c r="L90" s="136" t="s">
        <v>1073</v>
      </c>
      <c r="M90" s="136" t="s">
        <v>1073</v>
      </c>
      <c r="N90" s="136" t="s">
        <v>1073</v>
      </c>
      <c r="O90" s="136" t="s">
        <v>1073</v>
      </c>
      <c r="P90" s="136" t="s">
        <v>1073</v>
      </c>
      <c r="Q90" s="136" t="s">
        <v>1073</v>
      </c>
      <c r="R90" s="136" t="s">
        <v>1073</v>
      </c>
      <c r="S90" s="136" t="s">
        <v>1073</v>
      </c>
      <c r="T90" s="136" t="s">
        <v>1073</v>
      </c>
      <c r="U90" s="136" t="s">
        <v>1073</v>
      </c>
      <c r="V90" s="136" t="s">
        <v>1073</v>
      </c>
      <c r="W90" s="136" t="s">
        <v>1073</v>
      </c>
      <c r="X90" s="136" t="s">
        <v>1073</v>
      </c>
      <c r="Y90" s="136" t="s">
        <v>1073</v>
      </c>
      <c r="Z90" s="136" t="s">
        <v>1073</v>
      </c>
      <c r="AA90" s="136" t="s">
        <v>1073</v>
      </c>
      <c r="AB90" s="136" t="s">
        <v>1073</v>
      </c>
      <c r="AC90" s="136" t="s">
        <v>1073</v>
      </c>
      <c r="AD90" s="136" t="s">
        <v>1073</v>
      </c>
      <c r="AE90" s="134" t="s">
        <v>1094</v>
      </c>
      <c r="AF90" s="134" t="s">
        <v>1094</v>
      </c>
      <c r="AG90" s="134" t="s">
        <v>1096</v>
      </c>
      <c r="AH90" s="134" t="s">
        <v>1094</v>
      </c>
      <c r="AI90" s="134" t="s">
        <v>1094</v>
      </c>
      <c r="AJ90" s="134" t="s">
        <v>1094</v>
      </c>
      <c r="AK90" s="134" t="s">
        <v>1094</v>
      </c>
      <c r="AL90" s="134" t="s">
        <v>1094</v>
      </c>
      <c r="AM90" s="134" t="s">
        <v>1094</v>
      </c>
      <c r="AN90" s="134" t="s">
        <v>1094</v>
      </c>
      <c r="AO90" s="134" t="s">
        <v>1094</v>
      </c>
      <c r="AP90" s="134" t="s">
        <v>17</v>
      </c>
      <c r="AQ90" s="134" t="s">
        <v>39</v>
      </c>
      <c r="AR90" s="134" t="s">
        <v>45</v>
      </c>
      <c r="AS90" s="134" t="s">
        <v>45</v>
      </c>
      <c r="AT90" s="134" t="s">
        <v>46</v>
      </c>
      <c r="AU90" s="134" t="s">
        <v>56</v>
      </c>
      <c r="AV90" s="134" t="s">
        <v>48</v>
      </c>
      <c r="AW90" s="134" t="s">
        <v>85</v>
      </c>
      <c r="AX90" s="134" t="s">
        <v>200</v>
      </c>
      <c r="AY90" s="136" t="s">
        <v>1073</v>
      </c>
      <c r="AZ90" s="136" t="s">
        <v>1073</v>
      </c>
      <c r="BA90" s="136" t="s">
        <v>1073</v>
      </c>
      <c r="BB90" s="134" t="s">
        <v>201</v>
      </c>
      <c r="BC90" s="134" t="s">
        <v>202</v>
      </c>
      <c r="BD90" s="134" t="s">
        <v>43</v>
      </c>
      <c r="BE90" s="136" t="s">
        <v>1073</v>
      </c>
      <c r="BF90" s="134" t="s">
        <v>203</v>
      </c>
      <c r="BG90" s="136" t="s">
        <v>1073</v>
      </c>
      <c r="BH90" s="136" t="s">
        <v>1073</v>
      </c>
      <c r="BI90" s="134" t="s">
        <v>41</v>
      </c>
      <c r="BJ90" s="134" t="s">
        <v>204</v>
      </c>
      <c r="BK90" s="136" t="s">
        <v>1073</v>
      </c>
      <c r="BL90" s="136" t="s">
        <v>1073</v>
      </c>
      <c r="BM90" s="134" t="s">
        <v>44</v>
      </c>
      <c r="BN90" s="136" t="s">
        <v>1073</v>
      </c>
      <c r="BO90" s="136" t="s">
        <v>1073</v>
      </c>
      <c r="BP90" s="134" t="s">
        <v>917</v>
      </c>
      <c r="BQ90" s="134" t="s">
        <v>1188</v>
      </c>
      <c r="BR90" s="134" t="s">
        <v>1091</v>
      </c>
      <c r="BS90" s="134" t="s">
        <v>1188</v>
      </c>
      <c r="BT90" s="136" t="s">
        <v>1073</v>
      </c>
      <c r="BU90" s="134" t="s">
        <v>1093</v>
      </c>
      <c r="BV90" s="136" t="s">
        <v>1073</v>
      </c>
      <c r="BW90" s="136" t="s">
        <v>1073</v>
      </c>
      <c r="BX90" s="136" t="s">
        <v>1073</v>
      </c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29" t="s">
        <v>1073</v>
      </c>
      <c r="CJ90" s="129" t="s">
        <v>1073</v>
      </c>
      <c r="CK90" s="129" t="s">
        <v>1073</v>
      </c>
      <c r="CL90" s="129" t="s">
        <v>1073</v>
      </c>
      <c r="CM90" s="129" t="s">
        <v>1073</v>
      </c>
      <c r="CN90" s="129" t="s">
        <v>1073</v>
      </c>
      <c r="CO90" s="129" t="s">
        <v>1073</v>
      </c>
      <c r="CP90" s="129" t="s">
        <v>1073</v>
      </c>
      <c r="CQ90" s="129" t="s">
        <v>1073</v>
      </c>
      <c r="CR90" s="129" t="s">
        <v>1073</v>
      </c>
      <c r="CS90" s="129" t="s">
        <v>1073</v>
      </c>
      <c r="CT90" s="129" t="s">
        <v>1073</v>
      </c>
      <c r="CU90" s="129" t="s">
        <v>1073</v>
      </c>
      <c r="CV90" s="129" t="s">
        <v>1073</v>
      </c>
      <c r="CW90" s="129" t="s">
        <v>1073</v>
      </c>
      <c r="CX90" s="129" t="s">
        <v>1073</v>
      </c>
      <c r="CY90" s="129" t="s">
        <v>1073</v>
      </c>
      <c r="CZ90" s="129" t="s">
        <v>1073</v>
      </c>
      <c r="DA90" s="129" t="s">
        <v>1073</v>
      </c>
    </row>
    <row r="91" spans="1:105" ht="14.25">
      <c r="A91" s="133" t="s">
        <v>1073</v>
      </c>
      <c r="B91" s="136" t="s">
        <v>1073</v>
      </c>
      <c r="C91" s="136" t="s">
        <v>1073</v>
      </c>
      <c r="D91" s="136" t="s">
        <v>1073</v>
      </c>
      <c r="E91" s="136" t="s">
        <v>1073</v>
      </c>
      <c r="F91" s="136" t="s">
        <v>1241</v>
      </c>
      <c r="G91" s="136" t="s">
        <v>18</v>
      </c>
      <c r="H91" s="136" t="s">
        <v>18</v>
      </c>
      <c r="I91" s="136" t="s">
        <v>18</v>
      </c>
      <c r="J91" s="136" t="s">
        <v>18</v>
      </c>
      <c r="K91" s="136" t="s">
        <v>1073</v>
      </c>
      <c r="L91" s="136" t="s">
        <v>1073</v>
      </c>
      <c r="M91" s="136" t="s">
        <v>1073</v>
      </c>
      <c r="N91" s="136" t="s">
        <v>1073</v>
      </c>
      <c r="O91" s="136" t="s">
        <v>1073</v>
      </c>
      <c r="P91" s="136" t="s">
        <v>1073</v>
      </c>
      <c r="Q91" s="136" t="s">
        <v>1073</v>
      </c>
      <c r="R91" s="136" t="s">
        <v>1073</v>
      </c>
      <c r="S91" s="136" t="s">
        <v>1073</v>
      </c>
      <c r="T91" s="136" t="s">
        <v>1073</v>
      </c>
      <c r="U91" s="136" t="s">
        <v>1073</v>
      </c>
      <c r="V91" s="136" t="s">
        <v>1073</v>
      </c>
      <c r="W91" s="136" t="s">
        <v>1073</v>
      </c>
      <c r="X91" s="136" t="s">
        <v>1073</v>
      </c>
      <c r="Y91" s="136" t="s">
        <v>1073</v>
      </c>
      <c r="Z91" s="136" t="s">
        <v>1073</v>
      </c>
      <c r="AA91" s="136" t="s">
        <v>1073</v>
      </c>
      <c r="AB91" s="136" t="s">
        <v>1073</v>
      </c>
      <c r="AC91" s="136" t="s">
        <v>1073</v>
      </c>
      <c r="AD91" s="136" t="s">
        <v>1073</v>
      </c>
      <c r="AE91" s="136" t="s">
        <v>980</v>
      </c>
      <c r="AF91" s="136" t="s">
        <v>980</v>
      </c>
      <c r="AG91" s="136" t="s">
        <v>1011</v>
      </c>
      <c r="AH91" s="136" t="s">
        <v>980</v>
      </c>
      <c r="AI91" s="136" t="s">
        <v>980</v>
      </c>
      <c r="AJ91" s="136" t="s">
        <v>980</v>
      </c>
      <c r="AK91" s="136" t="s">
        <v>980</v>
      </c>
      <c r="AL91" s="136" t="s">
        <v>980</v>
      </c>
      <c r="AM91" s="136" t="s">
        <v>980</v>
      </c>
      <c r="AN91" s="136" t="s">
        <v>980</v>
      </c>
      <c r="AO91" s="136" t="s">
        <v>980</v>
      </c>
      <c r="AP91" s="136" t="s">
        <v>1048</v>
      </c>
      <c r="AQ91" s="136" t="s">
        <v>464</v>
      </c>
      <c r="AR91" s="136" t="s">
        <v>703</v>
      </c>
      <c r="AS91" s="136" t="s">
        <v>721</v>
      </c>
      <c r="AT91" s="136" t="s">
        <v>720</v>
      </c>
      <c r="AU91" s="136" t="s">
        <v>839</v>
      </c>
      <c r="AV91" s="136" t="s">
        <v>781</v>
      </c>
      <c r="AW91" s="136" t="s">
        <v>793</v>
      </c>
      <c r="AX91" s="136" t="s">
        <v>806</v>
      </c>
      <c r="AY91" s="136" t="s">
        <v>1073</v>
      </c>
      <c r="AZ91" s="136" t="s">
        <v>1073</v>
      </c>
      <c r="BA91" s="136" t="s">
        <v>1073</v>
      </c>
      <c r="BB91" s="136" t="s">
        <v>853</v>
      </c>
      <c r="BC91" s="136" t="s">
        <v>754</v>
      </c>
      <c r="BD91" s="136" t="s">
        <v>1028</v>
      </c>
      <c r="BE91" s="136" t="s">
        <v>1073</v>
      </c>
      <c r="BF91" s="136" t="s">
        <v>394</v>
      </c>
      <c r="BG91" s="136" t="s">
        <v>1073</v>
      </c>
      <c r="BH91" s="136" t="s">
        <v>1073</v>
      </c>
      <c r="BI91" s="136" t="s">
        <v>479</v>
      </c>
      <c r="BJ91" s="136" t="s">
        <v>178</v>
      </c>
      <c r="BK91" s="136" t="s">
        <v>1073</v>
      </c>
      <c r="BL91" s="136" t="s">
        <v>1073</v>
      </c>
      <c r="BM91" s="136" t="s">
        <v>148</v>
      </c>
      <c r="BN91" s="136" t="s">
        <v>1073</v>
      </c>
      <c r="BO91" s="136" t="s">
        <v>1073</v>
      </c>
      <c r="BP91" s="136" t="s">
        <v>918</v>
      </c>
      <c r="BQ91" s="136" t="s">
        <v>1189</v>
      </c>
      <c r="BR91" s="136">
        <v>-727</v>
      </c>
      <c r="BS91" s="136" t="s">
        <v>1189</v>
      </c>
      <c r="BT91" s="136" t="s">
        <v>1073</v>
      </c>
      <c r="BU91" s="136" t="s">
        <v>563</v>
      </c>
      <c r="BV91" s="136" t="s">
        <v>1073</v>
      </c>
      <c r="BW91" s="136" t="s">
        <v>1073</v>
      </c>
      <c r="BX91" s="136" t="s">
        <v>1073</v>
      </c>
      <c r="BY91" s="277"/>
      <c r="BZ91" s="277"/>
      <c r="CA91" s="277"/>
      <c r="CB91" s="277"/>
      <c r="CC91" s="277"/>
      <c r="CD91" s="277"/>
      <c r="CE91" s="277"/>
      <c r="CF91" s="277"/>
      <c r="CG91" s="277"/>
      <c r="CH91" s="277"/>
      <c r="CI91" s="129" t="s">
        <v>1073</v>
      </c>
      <c r="CJ91" s="129" t="s">
        <v>1073</v>
      </c>
      <c r="CK91" s="129" t="s">
        <v>1073</v>
      </c>
      <c r="CL91" s="129" t="s">
        <v>1073</v>
      </c>
      <c r="CM91" s="129" t="s">
        <v>1073</v>
      </c>
      <c r="CN91" s="129" t="s">
        <v>1073</v>
      </c>
      <c r="CO91" s="129" t="s">
        <v>1073</v>
      </c>
      <c r="CP91" s="129" t="s">
        <v>1073</v>
      </c>
      <c r="CQ91" s="129" t="s">
        <v>1073</v>
      </c>
      <c r="CR91" s="129" t="s">
        <v>1073</v>
      </c>
      <c r="CS91" s="129" t="s">
        <v>1073</v>
      </c>
      <c r="CT91" s="129" t="s">
        <v>1073</v>
      </c>
      <c r="CU91" s="129" t="s">
        <v>1073</v>
      </c>
      <c r="CV91" s="129" t="s">
        <v>1073</v>
      </c>
      <c r="CW91" s="129" t="s">
        <v>1073</v>
      </c>
      <c r="CX91" s="129" t="s">
        <v>1073</v>
      </c>
      <c r="CY91" s="129" t="s">
        <v>1073</v>
      </c>
      <c r="CZ91" s="129" t="s">
        <v>1073</v>
      </c>
      <c r="DA91" s="129" t="s">
        <v>1073</v>
      </c>
    </row>
    <row r="92" spans="1:105" ht="14.25">
      <c r="A92" s="140" t="s">
        <v>69</v>
      </c>
      <c r="B92" s="136" t="s">
        <v>1215</v>
      </c>
      <c r="C92" s="136" t="s">
        <v>1215</v>
      </c>
      <c r="D92" s="136" t="s">
        <v>1215</v>
      </c>
      <c r="E92" s="136" t="s">
        <v>1215</v>
      </c>
      <c r="F92" s="136" t="s">
        <v>1215</v>
      </c>
      <c r="G92" s="136" t="s">
        <v>1215</v>
      </c>
      <c r="H92" s="136" t="s">
        <v>1215</v>
      </c>
      <c r="I92" s="136" t="s">
        <v>1215</v>
      </c>
      <c r="J92" s="136" t="s">
        <v>1215</v>
      </c>
      <c r="K92" s="136" t="s">
        <v>1215</v>
      </c>
      <c r="L92" s="136" t="s">
        <v>1215</v>
      </c>
      <c r="M92" s="136" t="s">
        <v>1215</v>
      </c>
      <c r="N92" s="136" t="s">
        <v>1215</v>
      </c>
      <c r="O92" s="136" t="s">
        <v>1215</v>
      </c>
      <c r="P92" s="136" t="s">
        <v>1215</v>
      </c>
      <c r="Q92" s="136" t="s">
        <v>1215</v>
      </c>
      <c r="R92" s="136" t="s">
        <v>1215</v>
      </c>
      <c r="S92" s="136" t="s">
        <v>1215</v>
      </c>
      <c r="T92" s="136" t="s">
        <v>1215</v>
      </c>
      <c r="U92" s="136" t="s">
        <v>1215</v>
      </c>
      <c r="V92" s="136" t="s">
        <v>1215</v>
      </c>
      <c r="W92" s="136" t="s">
        <v>1215</v>
      </c>
      <c r="X92" s="136" t="s">
        <v>1215</v>
      </c>
      <c r="Y92" s="136" t="s">
        <v>1215</v>
      </c>
      <c r="Z92" s="136" t="s">
        <v>1215</v>
      </c>
      <c r="AA92" s="136" t="s">
        <v>1215</v>
      </c>
      <c r="AB92" s="136" t="s">
        <v>1215</v>
      </c>
      <c r="AC92" s="136" t="s">
        <v>1215</v>
      </c>
      <c r="AD92" s="136" t="s">
        <v>1215</v>
      </c>
      <c r="AE92" s="136" t="s">
        <v>1215</v>
      </c>
      <c r="AF92" s="136" t="s">
        <v>1215</v>
      </c>
      <c r="AG92" s="136" t="s">
        <v>1215</v>
      </c>
      <c r="AH92" s="136" t="s">
        <v>1215</v>
      </c>
      <c r="AI92" s="136" t="s">
        <v>1215</v>
      </c>
      <c r="AJ92" s="136" t="s">
        <v>1215</v>
      </c>
      <c r="AK92" s="136" t="s">
        <v>1215</v>
      </c>
      <c r="AL92" s="136" t="s">
        <v>1215</v>
      </c>
      <c r="AM92" s="136" t="s">
        <v>1215</v>
      </c>
      <c r="AN92" s="136" t="s">
        <v>1215</v>
      </c>
      <c r="AO92" s="136" t="s">
        <v>1215</v>
      </c>
      <c r="AP92" s="136" t="s">
        <v>1215</v>
      </c>
      <c r="AQ92" s="136" t="s">
        <v>1215</v>
      </c>
      <c r="AR92" s="136" t="s">
        <v>1215</v>
      </c>
      <c r="AS92" s="136" t="s">
        <v>1215</v>
      </c>
      <c r="AT92" s="136" t="s">
        <v>1215</v>
      </c>
      <c r="AU92" s="136" t="s">
        <v>1215</v>
      </c>
      <c r="AV92" s="136" t="s">
        <v>1215</v>
      </c>
      <c r="AW92" s="136" t="s">
        <v>1215</v>
      </c>
      <c r="AX92" s="136" t="s">
        <v>1215</v>
      </c>
      <c r="AY92" s="136" t="s">
        <v>1215</v>
      </c>
      <c r="AZ92" s="136" t="s">
        <v>1215</v>
      </c>
      <c r="BA92" s="136" t="s">
        <v>1215</v>
      </c>
      <c r="BB92" s="136" t="s">
        <v>1215</v>
      </c>
      <c r="BC92" s="136" t="s">
        <v>1215</v>
      </c>
      <c r="BD92" s="136" t="s">
        <v>1215</v>
      </c>
      <c r="BE92" s="136" t="s">
        <v>1215</v>
      </c>
      <c r="BF92" s="136" t="s">
        <v>1215</v>
      </c>
      <c r="BG92" s="136" t="s">
        <v>1215</v>
      </c>
      <c r="BH92" s="136" t="s">
        <v>1215</v>
      </c>
      <c r="BI92" s="136" t="s">
        <v>1215</v>
      </c>
      <c r="BJ92" s="136" t="s">
        <v>1215</v>
      </c>
      <c r="BK92" s="136" t="s">
        <v>1215</v>
      </c>
      <c r="BL92" s="136" t="s">
        <v>1215</v>
      </c>
      <c r="BM92" s="136" t="s">
        <v>1215</v>
      </c>
      <c r="BN92" s="136" t="s">
        <v>1215</v>
      </c>
      <c r="BO92" s="136" t="s">
        <v>1215</v>
      </c>
      <c r="BP92" s="136" t="s">
        <v>1215</v>
      </c>
      <c r="BQ92" s="136" t="s">
        <v>1215</v>
      </c>
      <c r="BR92" s="136" t="s">
        <v>1215</v>
      </c>
      <c r="BS92" s="136" t="s">
        <v>1215</v>
      </c>
      <c r="BT92" s="136" t="s">
        <v>1215</v>
      </c>
      <c r="BU92" s="136" t="s">
        <v>1215</v>
      </c>
      <c r="BV92" s="136" t="s">
        <v>1215</v>
      </c>
      <c r="BW92" s="136" t="s">
        <v>1215</v>
      </c>
      <c r="BX92" s="136" t="s">
        <v>1215</v>
      </c>
      <c r="BY92" s="277"/>
      <c r="BZ92" s="277"/>
      <c r="CA92" s="277"/>
      <c r="CB92" s="277"/>
      <c r="CC92" s="277"/>
      <c r="CD92" s="277"/>
      <c r="CE92" s="277"/>
      <c r="CF92" s="277"/>
      <c r="CG92" s="277"/>
      <c r="CH92" s="277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</row>
    <row r="93" spans="1:105" ht="14.25">
      <c r="A93" s="133"/>
      <c r="B93" s="136" t="s">
        <v>70</v>
      </c>
      <c r="C93" s="136" t="s">
        <v>70</v>
      </c>
      <c r="D93" s="136" t="s">
        <v>70</v>
      </c>
      <c r="E93" s="136" t="s">
        <v>70</v>
      </c>
      <c r="F93" s="136" t="s">
        <v>70</v>
      </c>
      <c r="G93" s="136" t="s">
        <v>70</v>
      </c>
      <c r="H93" s="136" t="s">
        <v>70</v>
      </c>
      <c r="I93" s="136" t="s">
        <v>70</v>
      </c>
      <c r="J93" s="136" t="s">
        <v>70</v>
      </c>
      <c r="K93" s="136" t="s">
        <v>70</v>
      </c>
      <c r="L93" s="136" t="s">
        <v>70</v>
      </c>
      <c r="M93" s="136" t="s">
        <v>70</v>
      </c>
      <c r="N93" s="136" t="s">
        <v>70</v>
      </c>
      <c r="O93" s="136" t="s">
        <v>70</v>
      </c>
      <c r="P93" s="136" t="s">
        <v>70</v>
      </c>
      <c r="Q93" s="136" t="s">
        <v>70</v>
      </c>
      <c r="R93" s="136" t="s">
        <v>70</v>
      </c>
      <c r="S93" s="136" t="s">
        <v>70</v>
      </c>
      <c r="T93" s="136" t="s">
        <v>70</v>
      </c>
      <c r="U93" s="136" t="s">
        <v>70</v>
      </c>
      <c r="V93" s="136" t="s">
        <v>70</v>
      </c>
      <c r="W93" s="136" t="s">
        <v>70</v>
      </c>
      <c r="X93" s="136" t="s">
        <v>70</v>
      </c>
      <c r="Y93" s="136" t="s">
        <v>70</v>
      </c>
      <c r="Z93" s="136" t="s">
        <v>70</v>
      </c>
      <c r="AA93" s="136" t="s">
        <v>70</v>
      </c>
      <c r="AB93" s="136" t="s">
        <v>70</v>
      </c>
      <c r="AC93" s="136" t="s">
        <v>70</v>
      </c>
      <c r="AD93" s="136" t="s">
        <v>70</v>
      </c>
      <c r="AE93" s="136" t="s">
        <v>70</v>
      </c>
      <c r="AF93" s="136" t="s">
        <v>70</v>
      </c>
      <c r="AG93" s="136" t="s">
        <v>70</v>
      </c>
      <c r="AH93" s="136" t="s">
        <v>70</v>
      </c>
      <c r="AI93" s="136" t="s">
        <v>70</v>
      </c>
      <c r="AJ93" s="136" t="s">
        <v>70</v>
      </c>
      <c r="AK93" s="136" t="s">
        <v>70</v>
      </c>
      <c r="AL93" s="136" t="s">
        <v>70</v>
      </c>
      <c r="AM93" s="136" t="s">
        <v>70</v>
      </c>
      <c r="AN93" s="136" t="s">
        <v>70</v>
      </c>
      <c r="AO93" s="136" t="s">
        <v>70</v>
      </c>
      <c r="AP93" s="136" t="s">
        <v>70</v>
      </c>
      <c r="AQ93" s="136" t="s">
        <v>70</v>
      </c>
      <c r="AR93" s="136" t="s">
        <v>70</v>
      </c>
      <c r="AS93" s="136" t="s">
        <v>70</v>
      </c>
      <c r="AT93" s="136" t="s">
        <v>70</v>
      </c>
      <c r="AU93" s="136" t="s">
        <v>70</v>
      </c>
      <c r="AV93" s="136" t="s">
        <v>70</v>
      </c>
      <c r="AW93" s="136" t="s">
        <v>70</v>
      </c>
      <c r="AX93" s="136" t="s">
        <v>70</v>
      </c>
      <c r="AY93" s="136" t="s">
        <v>70</v>
      </c>
      <c r="AZ93" s="136" t="s">
        <v>70</v>
      </c>
      <c r="BA93" s="136" t="s">
        <v>70</v>
      </c>
      <c r="BB93" s="136" t="s">
        <v>70</v>
      </c>
      <c r="BC93" s="136" t="s">
        <v>70</v>
      </c>
      <c r="BD93" s="136" t="s">
        <v>70</v>
      </c>
      <c r="BE93" s="136" t="s">
        <v>715</v>
      </c>
      <c r="BF93" s="136" t="s">
        <v>70</v>
      </c>
      <c r="BG93" s="136" t="s">
        <v>715</v>
      </c>
      <c r="BH93" s="136" t="s">
        <v>715</v>
      </c>
      <c r="BI93" s="136" t="s">
        <v>70</v>
      </c>
      <c r="BJ93" s="136" t="s">
        <v>70</v>
      </c>
      <c r="BK93" s="136" t="s">
        <v>715</v>
      </c>
      <c r="BL93" s="136" t="s">
        <v>715</v>
      </c>
      <c r="BM93" s="136" t="s">
        <v>715</v>
      </c>
      <c r="BN93" s="136" t="s">
        <v>715</v>
      </c>
      <c r="BO93" s="136" t="s">
        <v>715</v>
      </c>
      <c r="BP93" s="136" t="s">
        <v>70</v>
      </c>
      <c r="BQ93" s="136" t="s">
        <v>715</v>
      </c>
      <c r="BR93" s="136" t="s">
        <v>715</v>
      </c>
      <c r="BS93" s="136" t="s">
        <v>715</v>
      </c>
      <c r="BT93" s="136" t="s">
        <v>715</v>
      </c>
      <c r="BU93" s="136" t="s">
        <v>70</v>
      </c>
      <c r="BV93" s="136" t="s">
        <v>715</v>
      </c>
      <c r="BW93" s="136" t="s">
        <v>715</v>
      </c>
      <c r="BX93" s="136" t="s">
        <v>715</v>
      </c>
      <c r="BY93" s="277"/>
      <c r="BZ93" s="277"/>
      <c r="CA93" s="277"/>
      <c r="CB93" s="277"/>
      <c r="CC93" s="277"/>
      <c r="CD93" s="277"/>
      <c r="CE93" s="277"/>
      <c r="CF93" s="277"/>
      <c r="CG93" s="277"/>
      <c r="CH93" s="277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</row>
    <row r="94" spans="1:105" ht="14.25">
      <c r="A94" s="140" t="s">
        <v>1071</v>
      </c>
      <c r="B94" s="136" t="s">
        <v>1073</v>
      </c>
      <c r="C94" s="136" t="s">
        <v>1073</v>
      </c>
      <c r="D94" s="136" t="s">
        <v>1073</v>
      </c>
      <c r="E94" s="136" t="s">
        <v>1073</v>
      </c>
      <c r="F94" s="134" t="s">
        <v>1091</v>
      </c>
      <c r="G94" s="134" t="s">
        <v>1093</v>
      </c>
      <c r="H94" s="134" t="s">
        <v>1093</v>
      </c>
      <c r="I94" s="134" t="s">
        <v>1093</v>
      </c>
      <c r="J94" s="134" t="s">
        <v>1093</v>
      </c>
      <c r="K94" s="136" t="s">
        <v>1073</v>
      </c>
      <c r="L94" s="136" t="s">
        <v>1073</v>
      </c>
      <c r="M94" s="136" t="s">
        <v>1073</v>
      </c>
      <c r="N94" s="136" t="s">
        <v>1073</v>
      </c>
      <c r="O94" s="136" t="s">
        <v>1073</v>
      </c>
      <c r="P94" s="136" t="s">
        <v>1073</v>
      </c>
      <c r="Q94" s="136" t="s">
        <v>1073</v>
      </c>
      <c r="R94" s="136" t="s">
        <v>1073</v>
      </c>
      <c r="S94" s="136" t="s">
        <v>1073</v>
      </c>
      <c r="T94" s="136" t="s">
        <v>1073</v>
      </c>
      <c r="U94" s="136" t="s">
        <v>1073</v>
      </c>
      <c r="V94" s="136" t="s">
        <v>1073</v>
      </c>
      <c r="W94" s="136" t="s">
        <v>1073</v>
      </c>
      <c r="X94" s="136" t="s">
        <v>1073</v>
      </c>
      <c r="Y94" s="136" t="s">
        <v>1073</v>
      </c>
      <c r="Z94" s="136" t="s">
        <v>1073</v>
      </c>
      <c r="AA94" s="136" t="s">
        <v>1073</v>
      </c>
      <c r="AB94" s="136" t="s">
        <v>1073</v>
      </c>
      <c r="AC94" s="136" t="s">
        <v>1073</v>
      </c>
      <c r="AD94" s="136" t="s">
        <v>1073</v>
      </c>
      <c r="AE94" s="134" t="s">
        <v>1094</v>
      </c>
      <c r="AF94" s="134" t="s">
        <v>1094</v>
      </c>
      <c r="AG94" s="134" t="s">
        <v>1096</v>
      </c>
      <c r="AH94" s="134" t="s">
        <v>1094</v>
      </c>
      <c r="AI94" s="134" t="s">
        <v>1094</v>
      </c>
      <c r="AJ94" s="134" t="s">
        <v>1094</v>
      </c>
      <c r="AK94" s="134" t="s">
        <v>1094</v>
      </c>
      <c r="AL94" s="134" t="s">
        <v>1094</v>
      </c>
      <c r="AM94" s="134" t="s">
        <v>1094</v>
      </c>
      <c r="AN94" s="134" t="s">
        <v>1094</v>
      </c>
      <c r="AO94" s="134" t="s">
        <v>1094</v>
      </c>
      <c r="AP94" s="134" t="s">
        <v>17</v>
      </c>
      <c r="AQ94" s="134" t="s">
        <v>39</v>
      </c>
      <c r="AR94" s="134" t="s">
        <v>45</v>
      </c>
      <c r="AS94" s="134" t="s">
        <v>45</v>
      </c>
      <c r="AT94" s="134" t="s">
        <v>46</v>
      </c>
      <c r="AU94" s="134" t="s">
        <v>56</v>
      </c>
      <c r="AV94" s="134" t="s">
        <v>48</v>
      </c>
      <c r="AW94" s="134" t="s">
        <v>85</v>
      </c>
      <c r="AX94" s="134" t="s">
        <v>200</v>
      </c>
      <c r="AY94" s="136" t="s">
        <v>1073</v>
      </c>
      <c r="AZ94" s="136" t="s">
        <v>1073</v>
      </c>
      <c r="BA94" s="136" t="s">
        <v>1073</v>
      </c>
      <c r="BB94" s="134" t="s">
        <v>201</v>
      </c>
      <c r="BC94" s="134" t="s">
        <v>202</v>
      </c>
      <c r="BD94" s="134" t="s">
        <v>43</v>
      </c>
      <c r="BE94" s="136" t="s">
        <v>1073</v>
      </c>
      <c r="BF94" s="134" t="s">
        <v>203</v>
      </c>
      <c r="BG94" s="136" t="s">
        <v>1073</v>
      </c>
      <c r="BH94" s="136" t="s">
        <v>1073</v>
      </c>
      <c r="BI94" s="134" t="s">
        <v>41</v>
      </c>
      <c r="BJ94" s="134" t="s">
        <v>204</v>
      </c>
      <c r="BK94" s="136" t="s">
        <v>1073</v>
      </c>
      <c r="BL94" s="136" t="s">
        <v>1073</v>
      </c>
      <c r="BM94" s="134" t="s">
        <v>44</v>
      </c>
      <c r="BN94" s="136" t="s">
        <v>1073</v>
      </c>
      <c r="BO94" s="136" t="s">
        <v>1073</v>
      </c>
      <c r="BP94" s="134" t="s">
        <v>917</v>
      </c>
      <c r="BQ94" s="134" t="s">
        <v>1188</v>
      </c>
      <c r="BR94" s="134" t="s">
        <v>1091</v>
      </c>
      <c r="BS94" s="134" t="s">
        <v>1188</v>
      </c>
      <c r="BT94" s="136" t="s">
        <v>1073</v>
      </c>
      <c r="BU94" s="134" t="s">
        <v>1093</v>
      </c>
      <c r="BV94" s="136" t="s">
        <v>1073</v>
      </c>
      <c r="BW94" s="136" t="s">
        <v>1073</v>
      </c>
      <c r="BX94" s="136" t="s">
        <v>1073</v>
      </c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</row>
    <row r="95" spans="1:105" ht="14.25">
      <c r="A95" s="133"/>
      <c r="B95" s="136" t="s">
        <v>1073</v>
      </c>
      <c r="C95" s="136" t="s">
        <v>1073</v>
      </c>
      <c r="D95" s="136" t="s">
        <v>1073</v>
      </c>
      <c r="E95" s="136" t="s">
        <v>1073</v>
      </c>
      <c r="F95" s="136" t="s">
        <v>1241</v>
      </c>
      <c r="G95" s="136" t="s">
        <v>18</v>
      </c>
      <c r="H95" s="136" t="s">
        <v>18</v>
      </c>
      <c r="I95" s="136" t="s">
        <v>18</v>
      </c>
      <c r="J95" s="136" t="s">
        <v>18</v>
      </c>
      <c r="K95" s="136" t="s">
        <v>1073</v>
      </c>
      <c r="L95" s="136" t="s">
        <v>49</v>
      </c>
      <c r="M95" s="136" t="s">
        <v>1073</v>
      </c>
      <c r="N95" s="136" t="s">
        <v>1073</v>
      </c>
      <c r="O95" s="136" t="s">
        <v>1073</v>
      </c>
      <c r="P95" s="136" t="s">
        <v>1073</v>
      </c>
      <c r="Q95" s="136" t="s">
        <v>1073</v>
      </c>
      <c r="R95" s="136" t="s">
        <v>1073</v>
      </c>
      <c r="S95" s="136" t="s">
        <v>1073</v>
      </c>
      <c r="T95" s="136" t="s">
        <v>1073</v>
      </c>
      <c r="U95" s="136" t="s">
        <v>1073</v>
      </c>
      <c r="V95" s="136" t="s">
        <v>1073</v>
      </c>
      <c r="W95" s="136" t="s">
        <v>1073</v>
      </c>
      <c r="X95" s="136" t="s">
        <v>1073</v>
      </c>
      <c r="Y95" s="136" t="s">
        <v>1073</v>
      </c>
      <c r="Z95" s="136" t="s">
        <v>1073</v>
      </c>
      <c r="AA95" s="136" t="s">
        <v>1073</v>
      </c>
      <c r="AB95" s="136" t="s">
        <v>1073</v>
      </c>
      <c r="AC95" s="136" t="s">
        <v>1073</v>
      </c>
      <c r="AD95" s="136" t="s">
        <v>1073</v>
      </c>
      <c r="AE95" s="136" t="s">
        <v>980</v>
      </c>
      <c r="AF95" s="136" t="s">
        <v>980</v>
      </c>
      <c r="AG95" s="136" t="s">
        <v>1011</v>
      </c>
      <c r="AH95" s="136" t="s">
        <v>980</v>
      </c>
      <c r="AI95" s="136" t="s">
        <v>980</v>
      </c>
      <c r="AJ95" s="136" t="s">
        <v>980</v>
      </c>
      <c r="AK95" s="136" t="s">
        <v>980</v>
      </c>
      <c r="AL95" s="136" t="s">
        <v>980</v>
      </c>
      <c r="AM95" s="136" t="s">
        <v>980</v>
      </c>
      <c r="AN95" s="136" t="s">
        <v>980</v>
      </c>
      <c r="AO95" s="136" t="s">
        <v>980</v>
      </c>
      <c r="AP95" s="136" t="s">
        <v>1048</v>
      </c>
      <c r="AQ95" s="136" t="s">
        <v>464</v>
      </c>
      <c r="AR95" s="136" t="s">
        <v>703</v>
      </c>
      <c r="AS95" s="136" t="s">
        <v>721</v>
      </c>
      <c r="AT95" s="136" t="s">
        <v>720</v>
      </c>
      <c r="AU95" s="136" t="s">
        <v>839</v>
      </c>
      <c r="AV95" s="136" t="s">
        <v>781</v>
      </c>
      <c r="AW95" s="136" t="s">
        <v>793</v>
      </c>
      <c r="AX95" s="136" t="s">
        <v>806</v>
      </c>
      <c r="AY95" s="136" t="s">
        <v>1073</v>
      </c>
      <c r="AZ95" s="136" t="s">
        <v>1073</v>
      </c>
      <c r="BA95" s="136" t="s">
        <v>1073</v>
      </c>
      <c r="BB95" s="136" t="s">
        <v>853</v>
      </c>
      <c r="BC95" s="136" t="s">
        <v>754</v>
      </c>
      <c r="BD95" s="136" t="s">
        <v>1028</v>
      </c>
      <c r="BE95" s="136" t="s">
        <v>1073</v>
      </c>
      <c r="BF95" s="136" t="s">
        <v>394</v>
      </c>
      <c r="BG95" s="136" t="s">
        <v>1073</v>
      </c>
      <c r="BH95" s="136" t="s">
        <v>1073</v>
      </c>
      <c r="BI95" s="136" t="s">
        <v>479</v>
      </c>
      <c r="BJ95" s="136" t="s">
        <v>178</v>
      </c>
      <c r="BK95" s="136" t="s">
        <v>1073</v>
      </c>
      <c r="BL95" s="136" t="s">
        <v>1073</v>
      </c>
      <c r="BM95" s="136" t="s">
        <v>148</v>
      </c>
      <c r="BN95" s="136" t="s">
        <v>1073</v>
      </c>
      <c r="BO95" s="136" t="s">
        <v>1073</v>
      </c>
      <c r="BP95" s="136" t="s">
        <v>918</v>
      </c>
      <c r="BQ95" s="136" t="s">
        <v>1189</v>
      </c>
      <c r="BR95" s="136">
        <v>-727</v>
      </c>
      <c r="BS95" s="136" t="s">
        <v>1189</v>
      </c>
      <c r="BT95" s="136" t="s">
        <v>1073</v>
      </c>
      <c r="BU95" s="136" t="s">
        <v>563</v>
      </c>
      <c r="BV95" s="136" t="s">
        <v>1073</v>
      </c>
      <c r="BW95" s="136" t="s">
        <v>1073</v>
      </c>
      <c r="BX95" s="136" t="s">
        <v>1073</v>
      </c>
      <c r="BY95" s="277"/>
      <c r="BZ95" s="277"/>
      <c r="CA95" s="277"/>
      <c r="CB95" s="277"/>
      <c r="CC95" s="277"/>
      <c r="CD95" s="277"/>
      <c r="CE95" s="277"/>
      <c r="CF95" s="277"/>
      <c r="CG95" s="277"/>
      <c r="CH95" s="277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</row>
    <row r="96" spans="1:105" ht="14.25">
      <c r="A96" s="140" t="s">
        <v>1072</v>
      </c>
      <c r="B96" s="136" t="s">
        <v>1215</v>
      </c>
      <c r="C96" s="136" t="s">
        <v>1215</v>
      </c>
      <c r="D96" s="136" t="s">
        <v>1215</v>
      </c>
      <c r="E96" s="136" t="s">
        <v>1215</v>
      </c>
      <c r="F96" s="136" t="s">
        <v>1215</v>
      </c>
      <c r="G96" s="136" t="s">
        <v>1215</v>
      </c>
      <c r="H96" s="136" t="s">
        <v>1215</v>
      </c>
      <c r="I96" s="136" t="s">
        <v>1215</v>
      </c>
      <c r="J96" s="136" t="s">
        <v>1215</v>
      </c>
      <c r="K96" s="136" t="s">
        <v>1215</v>
      </c>
      <c r="L96" s="136" t="s">
        <v>1215</v>
      </c>
      <c r="M96" s="136" t="s">
        <v>1215</v>
      </c>
      <c r="N96" s="136" t="s">
        <v>1073</v>
      </c>
      <c r="O96" s="136" t="s">
        <v>1073</v>
      </c>
      <c r="P96" s="136" t="s">
        <v>1073</v>
      </c>
      <c r="Q96" s="136" t="s">
        <v>1073</v>
      </c>
      <c r="R96" s="136" t="s">
        <v>1073</v>
      </c>
      <c r="S96" s="136" t="s">
        <v>1073</v>
      </c>
      <c r="T96" s="136" t="s">
        <v>1073</v>
      </c>
      <c r="U96" s="136" t="s">
        <v>1073</v>
      </c>
      <c r="V96" s="136" t="s">
        <v>1073</v>
      </c>
      <c r="W96" s="136" t="s">
        <v>1073</v>
      </c>
      <c r="X96" s="136" t="s">
        <v>1073</v>
      </c>
      <c r="Y96" s="136" t="s">
        <v>1073</v>
      </c>
      <c r="Z96" s="136" t="s">
        <v>1073</v>
      </c>
      <c r="AA96" s="136" t="s">
        <v>1073</v>
      </c>
      <c r="AB96" s="136" t="s">
        <v>1073</v>
      </c>
      <c r="AC96" s="136" t="s">
        <v>1073</v>
      </c>
      <c r="AD96" s="136" t="s">
        <v>1073</v>
      </c>
      <c r="AE96" s="136" t="s">
        <v>1073</v>
      </c>
      <c r="AF96" s="136" t="s">
        <v>1073</v>
      </c>
      <c r="AG96" s="136" t="s">
        <v>1215</v>
      </c>
      <c r="AH96" s="136" t="s">
        <v>1073</v>
      </c>
      <c r="AI96" s="136" t="s">
        <v>1073</v>
      </c>
      <c r="AJ96" s="136" t="s">
        <v>1073</v>
      </c>
      <c r="AK96" s="136" t="s">
        <v>1073</v>
      </c>
      <c r="AL96" s="136" t="s">
        <v>1073</v>
      </c>
      <c r="AM96" s="136" t="s">
        <v>1073</v>
      </c>
      <c r="AN96" s="136" t="s">
        <v>1073</v>
      </c>
      <c r="AO96" s="136" t="s">
        <v>1073</v>
      </c>
      <c r="AP96" s="134" t="s">
        <v>17</v>
      </c>
      <c r="AQ96" s="134" t="s">
        <v>39</v>
      </c>
      <c r="AR96" s="134" t="s">
        <v>45</v>
      </c>
      <c r="AS96" s="134" t="s">
        <v>45</v>
      </c>
      <c r="AT96" s="134" t="s">
        <v>46</v>
      </c>
      <c r="AU96" s="134" t="s">
        <v>56</v>
      </c>
      <c r="AV96" s="134" t="s">
        <v>48</v>
      </c>
      <c r="AW96" s="134" t="s">
        <v>85</v>
      </c>
      <c r="AX96" s="134" t="s">
        <v>85</v>
      </c>
      <c r="AY96" s="134" t="s">
        <v>85</v>
      </c>
      <c r="AZ96" s="134" t="s">
        <v>200</v>
      </c>
      <c r="BA96" s="134" t="s">
        <v>200</v>
      </c>
      <c r="BB96" s="134" t="s">
        <v>201</v>
      </c>
      <c r="BC96" s="134" t="s">
        <v>202</v>
      </c>
      <c r="BD96" s="134" t="s">
        <v>43</v>
      </c>
      <c r="BE96" s="134" t="s">
        <v>43</v>
      </c>
      <c r="BF96" s="134" t="s">
        <v>203</v>
      </c>
      <c r="BG96" s="134" t="s">
        <v>203</v>
      </c>
      <c r="BH96" s="134" t="s">
        <v>202</v>
      </c>
      <c r="BI96" s="134" t="s">
        <v>41</v>
      </c>
      <c r="BJ96" s="134" t="s">
        <v>204</v>
      </c>
      <c r="BK96" s="134" t="s">
        <v>203</v>
      </c>
      <c r="BL96" s="134" t="s">
        <v>203</v>
      </c>
      <c r="BM96" s="134" t="s">
        <v>44</v>
      </c>
      <c r="BN96" s="134" t="s">
        <v>44</v>
      </c>
      <c r="BO96" s="134" t="s">
        <v>203</v>
      </c>
      <c r="BP96" s="134" t="s">
        <v>917</v>
      </c>
      <c r="BQ96" s="134" t="s">
        <v>203</v>
      </c>
      <c r="BR96" s="134" t="s">
        <v>44</v>
      </c>
      <c r="BS96" s="134" t="s">
        <v>203</v>
      </c>
      <c r="BT96" s="134" t="s">
        <v>203</v>
      </c>
      <c r="BU96" s="134" t="s">
        <v>1093</v>
      </c>
      <c r="BV96" s="134" t="s">
        <v>1093</v>
      </c>
      <c r="BW96" s="134" t="s">
        <v>44</v>
      </c>
      <c r="BX96" s="134" t="s">
        <v>44</v>
      </c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</row>
    <row r="97" spans="1:105" ht="14.25">
      <c r="A97" s="133"/>
      <c r="B97" s="136" t="s">
        <v>70</v>
      </c>
      <c r="C97" s="136" t="s">
        <v>70</v>
      </c>
      <c r="D97" s="136" t="s">
        <v>70</v>
      </c>
      <c r="E97" s="136" t="s">
        <v>70</v>
      </c>
      <c r="F97" s="136" t="s">
        <v>70</v>
      </c>
      <c r="G97" s="136" t="s">
        <v>70</v>
      </c>
      <c r="H97" s="136" t="s">
        <v>70</v>
      </c>
      <c r="I97" s="136" t="s">
        <v>70</v>
      </c>
      <c r="J97" s="136" t="s">
        <v>70</v>
      </c>
      <c r="K97" s="136" t="s">
        <v>70</v>
      </c>
      <c r="L97" s="136" t="s">
        <v>70</v>
      </c>
      <c r="M97" s="136" t="s">
        <v>70</v>
      </c>
      <c r="N97" s="136" t="s">
        <v>1073</v>
      </c>
      <c r="O97" s="136" t="s">
        <v>1073</v>
      </c>
      <c r="P97" s="136" t="s">
        <v>1073</v>
      </c>
      <c r="Q97" s="136" t="s">
        <v>1073</v>
      </c>
      <c r="R97" s="136" t="s">
        <v>1073</v>
      </c>
      <c r="S97" s="136" t="s">
        <v>1073</v>
      </c>
      <c r="T97" s="136" t="s">
        <v>1073</v>
      </c>
      <c r="U97" s="136" t="s">
        <v>1073</v>
      </c>
      <c r="V97" s="136" t="s">
        <v>1073</v>
      </c>
      <c r="W97" s="136" t="s">
        <v>1073</v>
      </c>
      <c r="X97" s="136" t="s">
        <v>1073</v>
      </c>
      <c r="Y97" s="136" t="s">
        <v>1073</v>
      </c>
      <c r="Z97" s="136" t="s">
        <v>1073</v>
      </c>
      <c r="AA97" s="136" t="s">
        <v>1073</v>
      </c>
      <c r="AB97" s="136" t="s">
        <v>1073</v>
      </c>
      <c r="AC97" s="136" t="s">
        <v>1073</v>
      </c>
      <c r="AD97" s="136" t="s">
        <v>1073</v>
      </c>
      <c r="AE97" s="136" t="s">
        <v>1073</v>
      </c>
      <c r="AF97" s="136" t="s">
        <v>1073</v>
      </c>
      <c r="AG97" s="136" t="s">
        <v>70</v>
      </c>
      <c r="AH97" s="136" t="s">
        <v>1073</v>
      </c>
      <c r="AI97" s="136" t="s">
        <v>1073</v>
      </c>
      <c r="AJ97" s="136" t="s">
        <v>1073</v>
      </c>
      <c r="AK97" s="136" t="s">
        <v>1073</v>
      </c>
      <c r="AL97" s="136" t="s">
        <v>1073</v>
      </c>
      <c r="AM97" s="136" t="s">
        <v>1073</v>
      </c>
      <c r="AN97" s="136" t="s">
        <v>1073</v>
      </c>
      <c r="AO97" s="136" t="s">
        <v>1073</v>
      </c>
      <c r="AP97" s="136" t="s">
        <v>1048</v>
      </c>
      <c r="AQ97" s="136" t="s">
        <v>464</v>
      </c>
      <c r="AR97" s="136" t="s">
        <v>703</v>
      </c>
      <c r="AS97" s="136" t="s">
        <v>721</v>
      </c>
      <c r="AT97" s="136" t="s">
        <v>720</v>
      </c>
      <c r="AU97" s="136" t="s">
        <v>839</v>
      </c>
      <c r="AV97" s="136" t="s">
        <v>781</v>
      </c>
      <c r="AW97" s="136" t="s">
        <v>793</v>
      </c>
      <c r="AX97" s="136" t="s">
        <v>793</v>
      </c>
      <c r="AY97" s="136" t="s">
        <v>793</v>
      </c>
      <c r="AZ97" s="136" t="s">
        <v>806</v>
      </c>
      <c r="BA97" s="136" t="s">
        <v>806</v>
      </c>
      <c r="BB97" s="136" t="s">
        <v>853</v>
      </c>
      <c r="BC97" s="136" t="s">
        <v>754</v>
      </c>
      <c r="BD97" s="136" t="s">
        <v>1028</v>
      </c>
      <c r="BE97" s="136" t="s">
        <v>1028</v>
      </c>
      <c r="BF97" s="136" t="s">
        <v>394</v>
      </c>
      <c r="BG97" s="136" t="s">
        <v>394</v>
      </c>
      <c r="BH97" s="136" t="s">
        <v>754</v>
      </c>
      <c r="BI97" s="136" t="s">
        <v>479</v>
      </c>
      <c r="BJ97" s="136" t="s">
        <v>178</v>
      </c>
      <c r="BK97" s="136" t="s">
        <v>394</v>
      </c>
      <c r="BL97" s="136" t="s">
        <v>394</v>
      </c>
      <c r="BM97" s="136" t="s">
        <v>148</v>
      </c>
      <c r="BN97" s="136" t="s">
        <v>148</v>
      </c>
      <c r="BO97" s="136" t="s">
        <v>394</v>
      </c>
      <c r="BP97" s="136" t="s">
        <v>918</v>
      </c>
      <c r="BQ97" s="136" t="s">
        <v>394</v>
      </c>
      <c r="BR97" s="136" t="s">
        <v>148</v>
      </c>
      <c r="BS97" s="136" t="s">
        <v>394</v>
      </c>
      <c r="BT97" s="136" t="s">
        <v>394</v>
      </c>
      <c r="BU97" s="136" t="s">
        <v>563</v>
      </c>
      <c r="BV97" s="136" t="s">
        <v>563</v>
      </c>
      <c r="BW97" s="136" t="s">
        <v>148</v>
      </c>
      <c r="BX97" s="136" t="s">
        <v>148</v>
      </c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</row>
    <row r="98" spans="1:105" ht="14.25">
      <c r="A98" s="140" t="s">
        <v>1086</v>
      </c>
      <c r="B98" s="136" t="s">
        <v>1215</v>
      </c>
      <c r="C98" s="136" t="s">
        <v>1215</v>
      </c>
      <c r="D98" s="136" t="s">
        <v>1215</v>
      </c>
      <c r="E98" s="136" t="s">
        <v>1215</v>
      </c>
      <c r="F98" s="136" t="s">
        <v>1215</v>
      </c>
      <c r="G98" s="136" t="s">
        <v>1215</v>
      </c>
      <c r="H98" s="136" t="s">
        <v>1215</v>
      </c>
      <c r="I98" s="136" t="s">
        <v>1215</v>
      </c>
      <c r="J98" s="136" t="s">
        <v>1215</v>
      </c>
      <c r="K98" s="136" t="s">
        <v>1215</v>
      </c>
      <c r="L98" s="136" t="s">
        <v>1215</v>
      </c>
      <c r="M98" s="136" t="s">
        <v>1215</v>
      </c>
      <c r="N98" s="136" t="s">
        <v>1215</v>
      </c>
      <c r="O98" s="136" t="s">
        <v>1215</v>
      </c>
      <c r="P98" s="136" t="s">
        <v>1073</v>
      </c>
      <c r="Q98" s="136" t="s">
        <v>1073</v>
      </c>
      <c r="R98" s="136" t="s">
        <v>1073</v>
      </c>
      <c r="S98" s="136" t="s">
        <v>1073</v>
      </c>
      <c r="T98" s="136" t="s">
        <v>1073</v>
      </c>
      <c r="U98" s="136" t="s">
        <v>1073</v>
      </c>
      <c r="V98" s="136" t="s">
        <v>1073</v>
      </c>
      <c r="W98" s="136" t="s">
        <v>1073</v>
      </c>
      <c r="X98" s="136" t="s">
        <v>1073</v>
      </c>
      <c r="Y98" s="136" t="s">
        <v>1073</v>
      </c>
      <c r="Z98" s="136" t="s">
        <v>1073</v>
      </c>
      <c r="AA98" s="136" t="s">
        <v>1073</v>
      </c>
      <c r="AB98" s="136" t="s">
        <v>1073</v>
      </c>
      <c r="AC98" s="136" t="s">
        <v>1073</v>
      </c>
      <c r="AD98" s="136" t="s">
        <v>1073</v>
      </c>
      <c r="AE98" s="136" t="s">
        <v>1073</v>
      </c>
      <c r="AF98" s="136" t="s">
        <v>1073</v>
      </c>
      <c r="AG98" s="136" t="s">
        <v>1215</v>
      </c>
      <c r="AH98" s="136" t="s">
        <v>1073</v>
      </c>
      <c r="AI98" s="136" t="s">
        <v>1073</v>
      </c>
      <c r="AJ98" s="136" t="s">
        <v>1073</v>
      </c>
      <c r="AK98" s="136" t="s">
        <v>1073</v>
      </c>
      <c r="AL98" s="136" t="s">
        <v>1073</v>
      </c>
      <c r="AM98" s="136" t="s">
        <v>1073</v>
      </c>
      <c r="AN98" s="136" t="s">
        <v>1073</v>
      </c>
      <c r="AO98" s="136" t="s">
        <v>1073</v>
      </c>
      <c r="AP98" s="134" t="s">
        <v>17</v>
      </c>
      <c r="AQ98" s="134" t="s">
        <v>39</v>
      </c>
      <c r="AR98" s="134" t="s">
        <v>39</v>
      </c>
      <c r="AS98" s="134" t="s">
        <v>45</v>
      </c>
      <c r="AT98" s="134" t="s">
        <v>46</v>
      </c>
      <c r="AU98" s="134" t="s">
        <v>46</v>
      </c>
      <c r="AV98" s="134" t="s">
        <v>46</v>
      </c>
      <c r="AW98" s="134" t="s">
        <v>46</v>
      </c>
      <c r="AX98" s="134" t="s">
        <v>46</v>
      </c>
      <c r="AY98" s="134" t="s">
        <v>46</v>
      </c>
      <c r="AZ98" s="134" t="s">
        <v>200</v>
      </c>
      <c r="BA98" s="136" t="s">
        <v>1073</v>
      </c>
      <c r="BB98" s="134" t="s">
        <v>201</v>
      </c>
      <c r="BC98" s="134" t="s">
        <v>202</v>
      </c>
      <c r="BD98" s="134" t="s">
        <v>43</v>
      </c>
      <c r="BE98" s="134" t="s">
        <v>43</v>
      </c>
      <c r="BF98" s="134" t="s">
        <v>203</v>
      </c>
      <c r="BG98" s="134" t="s">
        <v>203</v>
      </c>
      <c r="BH98" s="134" t="s">
        <v>202</v>
      </c>
      <c r="BI98" s="134" t="s">
        <v>41</v>
      </c>
      <c r="BJ98" s="134" t="s">
        <v>204</v>
      </c>
      <c r="BK98" s="134" t="s">
        <v>203</v>
      </c>
      <c r="BL98" s="134" t="s">
        <v>203</v>
      </c>
      <c r="BM98" s="134" t="s">
        <v>204</v>
      </c>
      <c r="BN98" s="134" t="s">
        <v>204</v>
      </c>
      <c r="BO98" s="134" t="s">
        <v>203</v>
      </c>
      <c r="BP98" s="134" t="s">
        <v>917</v>
      </c>
      <c r="BQ98" s="134" t="s">
        <v>203</v>
      </c>
      <c r="BR98" s="134" t="s">
        <v>204</v>
      </c>
      <c r="BS98" s="134" t="s">
        <v>203</v>
      </c>
      <c r="BT98" s="134" t="s">
        <v>203</v>
      </c>
      <c r="BU98" s="134" t="s">
        <v>1093</v>
      </c>
      <c r="BV98" s="134" t="s">
        <v>1093</v>
      </c>
      <c r="BW98" s="134" t="s">
        <v>1093</v>
      </c>
      <c r="BX98" s="134" t="s">
        <v>1093</v>
      </c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</row>
    <row r="99" spans="1:105" ht="14.25">
      <c r="A99" s="133"/>
      <c r="B99" s="136" t="s">
        <v>70</v>
      </c>
      <c r="C99" s="136" t="s">
        <v>70</v>
      </c>
      <c r="D99" s="136" t="s">
        <v>70</v>
      </c>
      <c r="E99" s="136" t="s">
        <v>70</v>
      </c>
      <c r="F99" s="136" t="s">
        <v>70</v>
      </c>
      <c r="G99" s="136" t="s">
        <v>70</v>
      </c>
      <c r="H99" s="136" t="s">
        <v>70</v>
      </c>
      <c r="I99" s="136" t="s">
        <v>70</v>
      </c>
      <c r="J99" s="136" t="s">
        <v>70</v>
      </c>
      <c r="K99" s="136" t="s">
        <v>70</v>
      </c>
      <c r="L99" s="136" t="s">
        <v>47</v>
      </c>
      <c r="M99" s="136" t="s">
        <v>47</v>
      </c>
      <c r="N99" s="136" t="s">
        <v>47</v>
      </c>
      <c r="O99" s="136" t="s">
        <v>47</v>
      </c>
      <c r="P99" s="136" t="s">
        <v>1073</v>
      </c>
      <c r="Q99" s="136" t="s">
        <v>1073</v>
      </c>
      <c r="R99" s="136" t="s">
        <v>1073</v>
      </c>
      <c r="S99" s="136" t="s">
        <v>1073</v>
      </c>
      <c r="T99" s="136" t="s">
        <v>1073</v>
      </c>
      <c r="U99" s="136" t="s">
        <v>1073</v>
      </c>
      <c r="V99" s="136" t="s">
        <v>1073</v>
      </c>
      <c r="W99" s="136" t="s">
        <v>1073</v>
      </c>
      <c r="X99" s="136" t="s">
        <v>1073</v>
      </c>
      <c r="Y99" s="136" t="s">
        <v>1073</v>
      </c>
      <c r="Z99" s="136" t="s">
        <v>1073</v>
      </c>
      <c r="AA99" s="136" t="s">
        <v>1073</v>
      </c>
      <c r="AB99" s="136" t="s">
        <v>1073</v>
      </c>
      <c r="AC99" s="136" t="s">
        <v>1073</v>
      </c>
      <c r="AD99" s="136" t="s">
        <v>1073</v>
      </c>
      <c r="AE99" s="136" t="s">
        <v>1073</v>
      </c>
      <c r="AF99" s="136" t="s">
        <v>1073</v>
      </c>
      <c r="AG99" s="136" t="s">
        <v>70</v>
      </c>
      <c r="AH99" s="136" t="s">
        <v>1073</v>
      </c>
      <c r="AI99" s="136" t="s">
        <v>1073</v>
      </c>
      <c r="AJ99" s="136" t="s">
        <v>1073</v>
      </c>
      <c r="AK99" s="136" t="s">
        <v>1073</v>
      </c>
      <c r="AL99" s="136" t="s">
        <v>1073</v>
      </c>
      <c r="AM99" s="136" t="s">
        <v>1073</v>
      </c>
      <c r="AN99" s="136" t="s">
        <v>1073</v>
      </c>
      <c r="AO99" s="136" t="s">
        <v>1073</v>
      </c>
      <c r="AP99" s="136" t="s">
        <v>1048</v>
      </c>
      <c r="AQ99" s="136" t="s">
        <v>464</v>
      </c>
      <c r="AR99" s="136" t="s">
        <v>464</v>
      </c>
      <c r="AS99" s="136" t="s">
        <v>721</v>
      </c>
      <c r="AT99" s="136" t="s">
        <v>720</v>
      </c>
      <c r="AU99" s="136" t="s">
        <v>720</v>
      </c>
      <c r="AV99" s="136" t="s">
        <v>720</v>
      </c>
      <c r="AW99" s="136" t="s">
        <v>720</v>
      </c>
      <c r="AX99" s="136" t="s">
        <v>720</v>
      </c>
      <c r="AY99" s="136" t="s">
        <v>720</v>
      </c>
      <c r="AZ99" s="136" t="s">
        <v>806</v>
      </c>
      <c r="BA99" s="136" t="s">
        <v>1073</v>
      </c>
      <c r="BB99" s="136" t="s">
        <v>853</v>
      </c>
      <c r="BC99" s="136" t="s">
        <v>754</v>
      </c>
      <c r="BD99" s="136" t="s">
        <v>1028</v>
      </c>
      <c r="BE99" s="136" t="s">
        <v>1028</v>
      </c>
      <c r="BF99" s="136" t="s">
        <v>394</v>
      </c>
      <c r="BG99" s="136" t="s">
        <v>394</v>
      </c>
      <c r="BH99" s="136" t="s">
        <v>754</v>
      </c>
      <c r="BI99" s="136" t="s">
        <v>479</v>
      </c>
      <c r="BJ99" s="136" t="s">
        <v>178</v>
      </c>
      <c r="BK99" s="136" t="s">
        <v>394</v>
      </c>
      <c r="BL99" s="136" t="s">
        <v>394</v>
      </c>
      <c r="BM99" s="136" t="s">
        <v>178</v>
      </c>
      <c r="BN99" s="136" t="s">
        <v>178</v>
      </c>
      <c r="BO99" s="136" t="s">
        <v>394</v>
      </c>
      <c r="BP99" s="136" t="s">
        <v>918</v>
      </c>
      <c r="BQ99" s="136" t="s">
        <v>394</v>
      </c>
      <c r="BR99" s="136" t="s">
        <v>178</v>
      </c>
      <c r="BS99" s="136" t="s">
        <v>394</v>
      </c>
      <c r="BT99" s="136" t="s">
        <v>394</v>
      </c>
      <c r="BU99" s="136" t="s">
        <v>563</v>
      </c>
      <c r="BV99" s="136" t="s">
        <v>563</v>
      </c>
      <c r="BW99" s="136" t="s">
        <v>563</v>
      </c>
      <c r="BX99" s="136" t="s">
        <v>563</v>
      </c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</row>
    <row r="100" spans="1:105" ht="14.25">
      <c r="A100" s="140" t="s">
        <v>168</v>
      </c>
      <c r="B100" s="136" t="s">
        <v>1215</v>
      </c>
      <c r="C100" s="136" t="s">
        <v>1215</v>
      </c>
      <c r="D100" s="136" t="s">
        <v>1215</v>
      </c>
      <c r="E100" s="136" t="s">
        <v>1215</v>
      </c>
      <c r="F100" s="136" t="s">
        <v>1215</v>
      </c>
      <c r="G100" s="136" t="s">
        <v>1215</v>
      </c>
      <c r="H100" s="136" t="s">
        <v>1215</v>
      </c>
      <c r="I100" s="136" t="s">
        <v>1215</v>
      </c>
      <c r="J100" s="136" t="s">
        <v>1215</v>
      </c>
      <c r="K100" s="136" t="s">
        <v>1215</v>
      </c>
      <c r="L100" s="136" t="s">
        <v>1215</v>
      </c>
      <c r="M100" s="136" t="s">
        <v>1215</v>
      </c>
      <c r="N100" s="136" t="s">
        <v>1215</v>
      </c>
      <c r="O100" s="136" t="s">
        <v>1215</v>
      </c>
      <c r="P100" s="136" t="s">
        <v>1215</v>
      </c>
      <c r="Q100" s="136" t="s">
        <v>1215</v>
      </c>
      <c r="R100" s="136" t="s">
        <v>1215</v>
      </c>
      <c r="S100" s="136" t="s">
        <v>1215</v>
      </c>
      <c r="T100" s="136" t="s">
        <v>1215</v>
      </c>
      <c r="U100" s="136" t="s">
        <v>1215</v>
      </c>
      <c r="V100" s="136" t="s">
        <v>1215</v>
      </c>
      <c r="W100" s="136" t="s">
        <v>1215</v>
      </c>
      <c r="X100" s="136" t="s">
        <v>1215</v>
      </c>
      <c r="Y100" s="136" t="s">
        <v>1215</v>
      </c>
      <c r="Z100" s="136" t="s">
        <v>1215</v>
      </c>
      <c r="AA100" s="136" t="s">
        <v>1215</v>
      </c>
      <c r="AB100" s="136" t="s">
        <v>1215</v>
      </c>
      <c r="AC100" s="136" t="s">
        <v>1215</v>
      </c>
      <c r="AD100" s="136" t="s">
        <v>1215</v>
      </c>
      <c r="AE100" s="136" t="s">
        <v>1215</v>
      </c>
      <c r="AF100" s="136" t="s">
        <v>1215</v>
      </c>
      <c r="AG100" s="136" t="s">
        <v>1215</v>
      </c>
      <c r="AH100" s="136" t="s">
        <v>1215</v>
      </c>
      <c r="AI100" s="136" t="s">
        <v>1215</v>
      </c>
      <c r="AJ100" s="136" t="s">
        <v>1215</v>
      </c>
      <c r="AK100" s="136" t="s">
        <v>1215</v>
      </c>
      <c r="AL100" s="136" t="s">
        <v>1215</v>
      </c>
      <c r="AM100" s="136" t="s">
        <v>1215</v>
      </c>
      <c r="AN100" s="136" t="s">
        <v>1215</v>
      </c>
      <c r="AO100" s="136" t="s">
        <v>1215</v>
      </c>
      <c r="AP100" s="136" t="s">
        <v>1215</v>
      </c>
      <c r="AQ100" s="136" t="s">
        <v>1215</v>
      </c>
      <c r="AR100" s="136" t="s">
        <v>1215</v>
      </c>
      <c r="AS100" s="136" t="s">
        <v>1215</v>
      </c>
      <c r="AT100" s="136" t="s">
        <v>1215</v>
      </c>
      <c r="AU100" s="136" t="s">
        <v>1215</v>
      </c>
      <c r="AV100" s="136" t="s">
        <v>1215</v>
      </c>
      <c r="AW100" s="136" t="s">
        <v>1215</v>
      </c>
      <c r="AX100" s="136" t="s">
        <v>1215</v>
      </c>
      <c r="AY100" s="136" t="s">
        <v>1215</v>
      </c>
      <c r="AZ100" s="136" t="s">
        <v>1215</v>
      </c>
      <c r="BA100" s="136" t="s">
        <v>1215</v>
      </c>
      <c r="BB100" s="136" t="s">
        <v>1215</v>
      </c>
      <c r="BC100" s="136" t="s">
        <v>1215</v>
      </c>
      <c r="BD100" s="136" t="s">
        <v>1215</v>
      </c>
      <c r="BE100" s="136" t="s">
        <v>1215</v>
      </c>
      <c r="BF100" s="136" t="s">
        <v>1215</v>
      </c>
      <c r="BG100" s="136" t="s">
        <v>1215</v>
      </c>
      <c r="BH100" s="136" t="s">
        <v>1215</v>
      </c>
      <c r="BI100" s="136" t="s">
        <v>1215</v>
      </c>
      <c r="BJ100" s="136" t="s">
        <v>1215</v>
      </c>
      <c r="BK100" s="136" t="s">
        <v>1215</v>
      </c>
      <c r="BL100" s="136" t="s">
        <v>1073</v>
      </c>
      <c r="BM100" s="136" t="s">
        <v>1215</v>
      </c>
      <c r="BN100" s="136" t="s">
        <v>1215</v>
      </c>
      <c r="BO100" s="136" t="s">
        <v>1073</v>
      </c>
      <c r="BP100" s="136" t="s">
        <v>1215</v>
      </c>
      <c r="BQ100" s="134" t="s">
        <v>1188</v>
      </c>
      <c r="BR100" s="136" t="s">
        <v>1215</v>
      </c>
      <c r="BS100" s="134" t="s">
        <v>1188</v>
      </c>
      <c r="BT100" s="136" t="s">
        <v>1073</v>
      </c>
      <c r="BU100" s="136" t="s">
        <v>1215</v>
      </c>
      <c r="BV100" s="136" t="s">
        <v>1073</v>
      </c>
      <c r="BW100" s="136" t="s">
        <v>1215</v>
      </c>
      <c r="BX100" s="136" t="s">
        <v>1073</v>
      </c>
      <c r="BY100" s="277"/>
      <c r="BZ100" s="277"/>
      <c r="CA100" s="277"/>
      <c r="CB100" s="277"/>
      <c r="CC100" s="277"/>
      <c r="CD100" s="277"/>
      <c r="CE100" s="277"/>
      <c r="CF100" s="277"/>
      <c r="CG100" s="277"/>
      <c r="CH100" s="277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</row>
    <row r="101" spans="1:105" ht="14.25">
      <c r="A101" s="140"/>
      <c r="B101" s="136" t="s">
        <v>70</v>
      </c>
      <c r="C101" s="136" t="s">
        <v>70</v>
      </c>
      <c r="D101" s="136" t="s">
        <v>70</v>
      </c>
      <c r="E101" s="136" t="s">
        <v>70</v>
      </c>
      <c r="F101" s="136" t="s">
        <v>70</v>
      </c>
      <c r="G101" s="136" t="s">
        <v>70</v>
      </c>
      <c r="H101" s="136" t="s">
        <v>70</v>
      </c>
      <c r="I101" s="136" t="s">
        <v>70</v>
      </c>
      <c r="J101" s="136" t="s">
        <v>70</v>
      </c>
      <c r="K101" s="136" t="s">
        <v>70</v>
      </c>
      <c r="L101" s="136" t="s">
        <v>47</v>
      </c>
      <c r="M101" s="136" t="s">
        <v>47</v>
      </c>
      <c r="N101" s="136" t="s">
        <v>47</v>
      </c>
      <c r="O101" s="136" t="s">
        <v>47</v>
      </c>
      <c r="P101" s="136" t="s">
        <v>47</v>
      </c>
      <c r="Q101" s="136" t="s">
        <v>47</v>
      </c>
      <c r="R101" s="136" t="s">
        <v>47</v>
      </c>
      <c r="S101" s="136" t="s">
        <v>47</v>
      </c>
      <c r="T101" s="136" t="s">
        <v>47</v>
      </c>
      <c r="U101" s="136" t="s">
        <v>47</v>
      </c>
      <c r="V101" s="136" t="s">
        <v>47</v>
      </c>
      <c r="W101" s="136" t="s">
        <v>47</v>
      </c>
      <c r="X101" s="136" t="s">
        <v>47</v>
      </c>
      <c r="Y101" s="136" t="s">
        <v>47</v>
      </c>
      <c r="Z101" s="136" t="s">
        <v>47</v>
      </c>
      <c r="AA101" s="136" t="s">
        <v>47</v>
      </c>
      <c r="AB101" s="136" t="s">
        <v>47</v>
      </c>
      <c r="AC101" s="136" t="s">
        <v>47</v>
      </c>
      <c r="AD101" s="136" t="s">
        <v>47</v>
      </c>
      <c r="AE101" s="136" t="s">
        <v>47</v>
      </c>
      <c r="AF101" s="136" t="s">
        <v>47</v>
      </c>
      <c r="AG101" s="136" t="s">
        <v>70</v>
      </c>
      <c r="AH101" s="136" t="s">
        <v>47</v>
      </c>
      <c r="AI101" s="136" t="s">
        <v>47</v>
      </c>
      <c r="AJ101" s="136" t="s">
        <v>47</v>
      </c>
      <c r="AK101" s="136" t="s">
        <v>47</v>
      </c>
      <c r="AL101" s="136" t="s">
        <v>47</v>
      </c>
      <c r="AM101" s="136" t="s">
        <v>47</v>
      </c>
      <c r="AN101" s="136" t="s">
        <v>47</v>
      </c>
      <c r="AO101" s="136" t="s">
        <v>47</v>
      </c>
      <c r="AP101" s="136" t="s">
        <v>70</v>
      </c>
      <c r="AQ101" s="136" t="s">
        <v>70</v>
      </c>
      <c r="AR101" s="136" t="s">
        <v>70</v>
      </c>
      <c r="AS101" s="136" t="s">
        <v>70</v>
      </c>
      <c r="AT101" s="136" t="s">
        <v>70</v>
      </c>
      <c r="AU101" s="136" t="s">
        <v>70</v>
      </c>
      <c r="AV101" s="136" t="s">
        <v>70</v>
      </c>
      <c r="AW101" s="136" t="s">
        <v>70</v>
      </c>
      <c r="AX101" s="136" t="s">
        <v>70</v>
      </c>
      <c r="AY101" s="136" t="s">
        <v>70</v>
      </c>
      <c r="AZ101" s="136" t="s">
        <v>70</v>
      </c>
      <c r="BA101" s="136" t="s">
        <v>70</v>
      </c>
      <c r="BB101" s="136" t="s">
        <v>70</v>
      </c>
      <c r="BC101" s="136" t="s">
        <v>70</v>
      </c>
      <c r="BD101" s="136" t="s">
        <v>70</v>
      </c>
      <c r="BE101" s="136" t="s">
        <v>715</v>
      </c>
      <c r="BF101" s="136" t="s">
        <v>70</v>
      </c>
      <c r="BG101" s="136" t="s">
        <v>70</v>
      </c>
      <c r="BH101" s="136" t="s">
        <v>715</v>
      </c>
      <c r="BI101" s="136" t="s">
        <v>70</v>
      </c>
      <c r="BJ101" s="136" t="s">
        <v>70</v>
      </c>
      <c r="BK101" s="136" t="s">
        <v>70</v>
      </c>
      <c r="BL101" s="136" t="s">
        <v>1073</v>
      </c>
      <c r="BM101" s="136" t="s">
        <v>715</v>
      </c>
      <c r="BN101" s="136" t="s">
        <v>715</v>
      </c>
      <c r="BO101" s="136" t="s">
        <v>1073</v>
      </c>
      <c r="BP101" s="136" t="s">
        <v>70</v>
      </c>
      <c r="BQ101" s="136" t="s">
        <v>1189</v>
      </c>
      <c r="BR101" s="136" t="s">
        <v>715</v>
      </c>
      <c r="BS101" s="136" t="s">
        <v>1189</v>
      </c>
      <c r="BT101" s="136" t="s">
        <v>1073</v>
      </c>
      <c r="BU101" s="136" t="s">
        <v>70</v>
      </c>
      <c r="BV101" s="136" t="s">
        <v>1073</v>
      </c>
      <c r="BW101" s="136" t="s">
        <v>715</v>
      </c>
      <c r="BX101" s="136" t="s">
        <v>1073</v>
      </c>
      <c r="BY101" s="277"/>
      <c r="BZ101" s="277"/>
      <c r="CA101" s="277"/>
      <c r="CB101" s="277"/>
      <c r="CC101" s="277"/>
      <c r="CD101" s="277"/>
      <c r="CE101" s="277"/>
      <c r="CF101" s="277"/>
      <c r="CG101" s="277"/>
      <c r="CH101" s="277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</row>
    <row r="102" spans="1:105" ht="14.25">
      <c r="A102" s="140" t="s">
        <v>20</v>
      </c>
      <c r="B102" s="136" t="s">
        <v>1215</v>
      </c>
      <c r="C102" s="136" t="s">
        <v>1215</v>
      </c>
      <c r="D102" s="136" t="s">
        <v>1215</v>
      </c>
      <c r="E102" s="136" t="s">
        <v>1215</v>
      </c>
      <c r="F102" s="136" t="s">
        <v>1215</v>
      </c>
      <c r="G102" s="136" t="s">
        <v>1215</v>
      </c>
      <c r="H102" s="136" t="s">
        <v>1215</v>
      </c>
      <c r="I102" s="134" t="s">
        <v>1093</v>
      </c>
      <c r="J102" s="134" t="s">
        <v>1093</v>
      </c>
      <c r="K102" s="134" t="s">
        <v>1093</v>
      </c>
      <c r="L102" s="134" t="s">
        <v>1093</v>
      </c>
      <c r="M102" s="134" t="s">
        <v>1093</v>
      </c>
      <c r="N102" s="134" t="s">
        <v>1093</v>
      </c>
      <c r="O102" s="134" t="s">
        <v>1093</v>
      </c>
      <c r="P102" s="134" t="s">
        <v>1093</v>
      </c>
      <c r="Q102" s="134" t="s">
        <v>1093</v>
      </c>
      <c r="R102" s="134" t="s">
        <v>1093</v>
      </c>
      <c r="S102" s="134" t="s">
        <v>1093</v>
      </c>
      <c r="T102" s="136" t="s">
        <v>1073</v>
      </c>
      <c r="U102" s="136" t="s">
        <v>1073</v>
      </c>
      <c r="V102" s="136" t="s">
        <v>1073</v>
      </c>
      <c r="W102" s="136" t="s">
        <v>1073</v>
      </c>
      <c r="X102" s="136" t="s">
        <v>1073</v>
      </c>
      <c r="Y102" s="136" t="s">
        <v>1073</v>
      </c>
      <c r="Z102" s="136" t="s">
        <v>1073</v>
      </c>
      <c r="AA102" s="136" t="s">
        <v>1073</v>
      </c>
      <c r="AB102" s="136" t="s">
        <v>1073</v>
      </c>
      <c r="AC102" s="136" t="s">
        <v>1073</v>
      </c>
      <c r="AD102" s="136" t="s">
        <v>1073</v>
      </c>
      <c r="AE102" s="136" t="s">
        <v>1073</v>
      </c>
      <c r="AF102" s="136" t="s">
        <v>1073</v>
      </c>
      <c r="AG102" s="136" t="s">
        <v>1215</v>
      </c>
      <c r="AH102" s="136" t="s">
        <v>1073</v>
      </c>
      <c r="AI102" s="136" t="s">
        <v>1073</v>
      </c>
      <c r="AJ102" s="136" t="s">
        <v>1073</v>
      </c>
      <c r="AK102" s="136" t="s">
        <v>1073</v>
      </c>
      <c r="AL102" s="136" t="s">
        <v>1073</v>
      </c>
      <c r="AM102" s="134" t="s">
        <v>1094</v>
      </c>
      <c r="AN102" s="134" t="s">
        <v>1094</v>
      </c>
      <c r="AO102" s="134" t="s">
        <v>1094</v>
      </c>
      <c r="AP102" s="134" t="s">
        <v>1094</v>
      </c>
      <c r="AQ102" s="134" t="s">
        <v>1094</v>
      </c>
      <c r="AR102" s="134" t="s">
        <v>1094</v>
      </c>
      <c r="AS102" s="134" t="s">
        <v>1094</v>
      </c>
      <c r="AT102" s="134" t="s">
        <v>1094</v>
      </c>
      <c r="AU102" s="134" t="s">
        <v>1094</v>
      </c>
      <c r="AV102" s="134" t="s">
        <v>1094</v>
      </c>
      <c r="AW102" s="134" t="s">
        <v>1094</v>
      </c>
      <c r="AX102" s="134" t="s">
        <v>1094</v>
      </c>
      <c r="AY102" s="134" t="s">
        <v>1094</v>
      </c>
      <c r="AZ102" s="134" t="s">
        <v>1094</v>
      </c>
      <c r="BA102" s="134" t="s">
        <v>1094</v>
      </c>
      <c r="BB102" s="134" t="s">
        <v>201</v>
      </c>
      <c r="BC102" s="134" t="s">
        <v>202</v>
      </c>
      <c r="BD102" s="134" t="s">
        <v>43</v>
      </c>
      <c r="BE102" s="134" t="s">
        <v>43</v>
      </c>
      <c r="BF102" s="134" t="s">
        <v>203</v>
      </c>
      <c r="BG102" s="134" t="s">
        <v>203</v>
      </c>
      <c r="BH102" s="134" t="s">
        <v>202</v>
      </c>
      <c r="BI102" s="134" t="s">
        <v>41</v>
      </c>
      <c r="BJ102" s="134" t="s">
        <v>204</v>
      </c>
      <c r="BK102" s="134" t="s">
        <v>203</v>
      </c>
      <c r="BL102" s="134" t="s">
        <v>203</v>
      </c>
      <c r="BM102" s="134" t="s">
        <v>204</v>
      </c>
      <c r="BN102" s="134" t="s">
        <v>204</v>
      </c>
      <c r="BO102" s="134" t="s">
        <v>203</v>
      </c>
      <c r="BP102" s="134" t="s">
        <v>917</v>
      </c>
      <c r="BQ102" s="134" t="s">
        <v>203</v>
      </c>
      <c r="BR102" s="134" t="s">
        <v>204</v>
      </c>
      <c r="BS102" s="134" t="s">
        <v>203</v>
      </c>
      <c r="BT102" s="134" t="s">
        <v>203</v>
      </c>
      <c r="BU102" s="134" t="s">
        <v>1093</v>
      </c>
      <c r="BV102" s="134" t="s">
        <v>1093</v>
      </c>
      <c r="BW102" s="134" t="s">
        <v>1093</v>
      </c>
      <c r="BX102" s="134" t="s">
        <v>1093</v>
      </c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</row>
    <row r="103" spans="1:105" ht="14.25">
      <c r="A103" s="133"/>
      <c r="B103" s="136" t="s">
        <v>70</v>
      </c>
      <c r="C103" s="136" t="s">
        <v>70</v>
      </c>
      <c r="D103" s="136" t="s">
        <v>70</v>
      </c>
      <c r="E103" s="136" t="s">
        <v>70</v>
      </c>
      <c r="F103" s="136" t="s">
        <v>70</v>
      </c>
      <c r="G103" s="136" t="s">
        <v>70</v>
      </c>
      <c r="H103" s="136" t="s">
        <v>70</v>
      </c>
      <c r="I103" s="136" t="s">
        <v>18</v>
      </c>
      <c r="J103" s="136" t="s">
        <v>18</v>
      </c>
      <c r="K103" s="136" t="s">
        <v>18</v>
      </c>
      <c r="L103" s="136" t="s">
        <v>18</v>
      </c>
      <c r="M103" s="136" t="s">
        <v>18</v>
      </c>
      <c r="N103" s="136" t="s">
        <v>18</v>
      </c>
      <c r="O103" s="136" t="s">
        <v>18</v>
      </c>
      <c r="P103" s="136" t="s">
        <v>18</v>
      </c>
      <c r="Q103" s="136" t="s">
        <v>18</v>
      </c>
      <c r="R103" s="136" t="s">
        <v>18</v>
      </c>
      <c r="S103" s="136" t="s">
        <v>18</v>
      </c>
      <c r="T103" s="136" t="s">
        <v>49</v>
      </c>
      <c r="U103" s="136" t="s">
        <v>49</v>
      </c>
      <c r="V103" s="136" t="s">
        <v>49</v>
      </c>
      <c r="W103" s="136" t="s">
        <v>49</v>
      </c>
      <c r="X103" s="136" t="s">
        <v>49</v>
      </c>
      <c r="Y103" s="136" t="s">
        <v>49</v>
      </c>
      <c r="Z103" s="136" t="s">
        <v>49</v>
      </c>
      <c r="AA103" s="136" t="s">
        <v>49</v>
      </c>
      <c r="AB103" s="136" t="s">
        <v>49</v>
      </c>
      <c r="AC103" s="136" t="s">
        <v>49</v>
      </c>
      <c r="AD103" s="136" t="s">
        <v>49</v>
      </c>
      <c r="AE103" s="136" t="s">
        <v>49</v>
      </c>
      <c r="AF103" s="136" t="s">
        <v>49</v>
      </c>
      <c r="AG103" s="136" t="s">
        <v>70</v>
      </c>
      <c r="AH103" s="136" t="s">
        <v>49</v>
      </c>
      <c r="AI103" s="136" t="s">
        <v>49</v>
      </c>
      <c r="AJ103" s="136" t="s">
        <v>49</v>
      </c>
      <c r="AK103" s="136" t="s">
        <v>49</v>
      </c>
      <c r="AL103" s="136" t="s">
        <v>1073</v>
      </c>
      <c r="AM103" s="136" t="s">
        <v>980</v>
      </c>
      <c r="AN103" s="136" t="s">
        <v>980</v>
      </c>
      <c r="AO103" s="136" t="s">
        <v>980</v>
      </c>
      <c r="AP103" s="136" t="s">
        <v>980</v>
      </c>
      <c r="AQ103" s="136" t="s">
        <v>980</v>
      </c>
      <c r="AR103" s="136" t="s">
        <v>980</v>
      </c>
      <c r="AS103" s="136" t="s">
        <v>980</v>
      </c>
      <c r="AT103" s="136" t="s">
        <v>980</v>
      </c>
      <c r="AU103" s="136" t="s">
        <v>980</v>
      </c>
      <c r="AV103" s="136" t="s">
        <v>980</v>
      </c>
      <c r="AW103" s="136" t="s">
        <v>980</v>
      </c>
      <c r="AX103" s="136" t="s">
        <v>980</v>
      </c>
      <c r="AY103" s="136" t="s">
        <v>980</v>
      </c>
      <c r="AZ103" s="136" t="s">
        <v>980</v>
      </c>
      <c r="BA103" s="136" t="s">
        <v>980</v>
      </c>
      <c r="BB103" s="136" t="s">
        <v>853</v>
      </c>
      <c r="BC103" s="136" t="s">
        <v>754</v>
      </c>
      <c r="BD103" s="136" t="s">
        <v>1028</v>
      </c>
      <c r="BE103" s="136" t="s">
        <v>1028</v>
      </c>
      <c r="BF103" s="136" t="s">
        <v>394</v>
      </c>
      <c r="BG103" s="136" t="s">
        <v>394</v>
      </c>
      <c r="BH103" s="136" t="s">
        <v>754</v>
      </c>
      <c r="BI103" s="136" t="s">
        <v>479</v>
      </c>
      <c r="BJ103" s="136" t="s">
        <v>178</v>
      </c>
      <c r="BK103" s="136" t="s">
        <v>394</v>
      </c>
      <c r="BL103" s="136" t="s">
        <v>394</v>
      </c>
      <c r="BM103" s="136" t="s">
        <v>178</v>
      </c>
      <c r="BN103" s="136" t="s">
        <v>178</v>
      </c>
      <c r="BO103" s="136" t="s">
        <v>394</v>
      </c>
      <c r="BP103" s="136" t="s">
        <v>918</v>
      </c>
      <c r="BQ103" s="136" t="s">
        <v>394</v>
      </c>
      <c r="BR103" s="136" t="s">
        <v>178</v>
      </c>
      <c r="BS103" s="136" t="s">
        <v>394</v>
      </c>
      <c r="BT103" s="136" t="s">
        <v>394</v>
      </c>
      <c r="BU103" s="136" t="s">
        <v>563</v>
      </c>
      <c r="BV103" s="136" t="s">
        <v>563</v>
      </c>
      <c r="BW103" s="136" t="s">
        <v>563</v>
      </c>
      <c r="BX103" s="136" t="s">
        <v>563</v>
      </c>
      <c r="BY103" s="277"/>
      <c r="BZ103" s="277"/>
      <c r="CA103" s="277"/>
      <c r="CB103" s="277"/>
      <c r="CC103" s="277"/>
      <c r="CD103" s="277"/>
      <c r="CE103" s="277"/>
      <c r="CF103" s="277"/>
      <c r="CG103" s="277"/>
      <c r="CH103" s="277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</row>
    <row r="104" spans="1:105" ht="14.25">
      <c r="A104" s="140" t="s">
        <v>54</v>
      </c>
      <c r="B104" s="136" t="s">
        <v>1215</v>
      </c>
      <c r="C104" s="136" t="s">
        <v>1215</v>
      </c>
      <c r="D104" s="136" t="s">
        <v>1215</v>
      </c>
      <c r="E104" s="136" t="s">
        <v>1215</v>
      </c>
      <c r="F104" s="136" t="s">
        <v>1215</v>
      </c>
      <c r="G104" s="136" t="s">
        <v>1215</v>
      </c>
      <c r="H104" s="136" t="s">
        <v>1215</v>
      </c>
      <c r="I104" s="136" t="s">
        <v>1215</v>
      </c>
      <c r="J104" s="136" t="s">
        <v>1215</v>
      </c>
      <c r="K104" s="136" t="s">
        <v>1215</v>
      </c>
      <c r="L104" s="136" t="s">
        <v>1215</v>
      </c>
      <c r="M104" s="136" t="s">
        <v>1215</v>
      </c>
      <c r="N104" s="136" t="s">
        <v>1215</v>
      </c>
      <c r="O104" s="136" t="s">
        <v>1215</v>
      </c>
      <c r="P104" s="136" t="s">
        <v>1215</v>
      </c>
      <c r="Q104" s="136" t="s">
        <v>1215</v>
      </c>
      <c r="R104" s="136" t="s">
        <v>1215</v>
      </c>
      <c r="S104" s="136" t="s">
        <v>1215</v>
      </c>
      <c r="T104" s="136" t="s">
        <v>1215</v>
      </c>
      <c r="U104" s="136" t="s">
        <v>1215</v>
      </c>
      <c r="V104" s="136" t="s">
        <v>1215</v>
      </c>
      <c r="W104" s="136" t="s">
        <v>1215</v>
      </c>
      <c r="X104" s="136" t="s">
        <v>1215</v>
      </c>
      <c r="Y104" s="136" t="s">
        <v>1215</v>
      </c>
      <c r="Z104" s="136" t="s">
        <v>1215</v>
      </c>
      <c r="AA104" s="136" t="s">
        <v>1215</v>
      </c>
      <c r="AB104" s="136" t="s">
        <v>1215</v>
      </c>
      <c r="AC104" s="136" t="s">
        <v>1215</v>
      </c>
      <c r="AD104" s="136" t="s">
        <v>1215</v>
      </c>
      <c r="AE104" s="136" t="s">
        <v>1215</v>
      </c>
      <c r="AF104" s="136" t="s">
        <v>1215</v>
      </c>
      <c r="AG104" s="136" t="s">
        <v>1215</v>
      </c>
      <c r="AH104" s="136" t="s">
        <v>1215</v>
      </c>
      <c r="AI104" s="136" t="s">
        <v>1215</v>
      </c>
      <c r="AJ104" s="136" t="s">
        <v>1215</v>
      </c>
      <c r="AK104" s="136" t="s">
        <v>1215</v>
      </c>
      <c r="AL104" s="136" t="s">
        <v>1215</v>
      </c>
      <c r="AM104" s="136" t="s">
        <v>1215</v>
      </c>
      <c r="AN104" s="136" t="s">
        <v>1215</v>
      </c>
      <c r="AO104" s="136" t="s">
        <v>1215</v>
      </c>
      <c r="AP104" s="136" t="s">
        <v>1215</v>
      </c>
      <c r="AQ104" s="136" t="s">
        <v>1215</v>
      </c>
      <c r="AR104" s="136" t="s">
        <v>1215</v>
      </c>
      <c r="AS104" s="136" t="s">
        <v>1215</v>
      </c>
      <c r="AT104" s="136" t="s">
        <v>1215</v>
      </c>
      <c r="AU104" s="136" t="s">
        <v>1215</v>
      </c>
      <c r="AV104" s="136" t="s">
        <v>1215</v>
      </c>
      <c r="AW104" s="136" t="s">
        <v>1215</v>
      </c>
      <c r="AX104" s="136" t="s">
        <v>1215</v>
      </c>
      <c r="AY104" s="136" t="s">
        <v>1215</v>
      </c>
      <c r="AZ104" s="136" t="s">
        <v>1215</v>
      </c>
      <c r="BA104" s="136" t="s">
        <v>1215</v>
      </c>
      <c r="BB104" s="136" t="s">
        <v>1215</v>
      </c>
      <c r="BC104" s="136" t="s">
        <v>1215</v>
      </c>
      <c r="BD104" s="136" t="s">
        <v>1215</v>
      </c>
      <c r="BE104" s="136" t="s">
        <v>1215</v>
      </c>
      <c r="BF104" s="136" t="s">
        <v>1215</v>
      </c>
      <c r="BG104" s="136" t="s">
        <v>1215</v>
      </c>
      <c r="BH104" s="136" t="s">
        <v>1215</v>
      </c>
      <c r="BI104" s="136" t="s">
        <v>1215</v>
      </c>
      <c r="BJ104" s="136" t="s">
        <v>1215</v>
      </c>
      <c r="BK104" s="136" t="s">
        <v>1215</v>
      </c>
      <c r="BL104" s="136" t="s">
        <v>1215</v>
      </c>
      <c r="BM104" s="136" t="s">
        <v>1215</v>
      </c>
      <c r="BN104" s="136" t="s">
        <v>1215</v>
      </c>
      <c r="BO104" s="138" t="str">
        <f>IF(AND(Configurator!$E$5&lt;7,Configurator!$D$5&lt;8)," ","*")</f>
        <v> </v>
      </c>
      <c r="BP104" s="136" t="s">
        <v>1215</v>
      </c>
      <c r="BQ104" s="134" t="s">
        <v>1188</v>
      </c>
      <c r="BR104" s="136" t="s">
        <v>1215</v>
      </c>
      <c r="BS104" s="134" t="s">
        <v>1188</v>
      </c>
      <c r="BT104" s="136" t="s">
        <v>1073</v>
      </c>
      <c r="BU104" s="136" t="s">
        <v>1215</v>
      </c>
      <c r="BV104" s="136" t="s">
        <v>1073</v>
      </c>
      <c r="BW104" s="136" t="s">
        <v>1215</v>
      </c>
      <c r="BX104" s="136" t="s">
        <v>1073</v>
      </c>
      <c r="BY104" s="277"/>
      <c r="BZ104" s="277"/>
      <c r="CA104" s="277"/>
      <c r="CB104" s="277"/>
      <c r="CC104" s="277"/>
      <c r="CD104" s="277"/>
      <c r="CE104" s="277"/>
      <c r="CF104" s="277"/>
      <c r="CG104" s="277"/>
      <c r="CH104" s="277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</row>
    <row r="105" spans="1:105" ht="14.25">
      <c r="A105" s="133"/>
      <c r="B105" s="136" t="s">
        <v>715</v>
      </c>
      <c r="C105" s="136" t="s">
        <v>715</v>
      </c>
      <c r="D105" s="136" t="s">
        <v>715</v>
      </c>
      <c r="E105" s="136" t="s">
        <v>715</v>
      </c>
      <c r="F105" s="136" t="s">
        <v>715</v>
      </c>
      <c r="G105" s="136" t="s">
        <v>715</v>
      </c>
      <c r="H105" s="136" t="s">
        <v>715</v>
      </c>
      <c r="I105" s="136" t="s">
        <v>715</v>
      </c>
      <c r="J105" s="136" t="s">
        <v>715</v>
      </c>
      <c r="K105" s="136" t="s">
        <v>715</v>
      </c>
      <c r="L105" s="136" t="s">
        <v>715</v>
      </c>
      <c r="M105" s="136" t="s">
        <v>715</v>
      </c>
      <c r="N105" s="136" t="s">
        <v>715</v>
      </c>
      <c r="O105" s="136" t="s">
        <v>715</v>
      </c>
      <c r="P105" s="136" t="s">
        <v>715</v>
      </c>
      <c r="Q105" s="136" t="s">
        <v>715</v>
      </c>
      <c r="R105" s="136" t="s">
        <v>715</v>
      </c>
      <c r="S105" s="136" t="s">
        <v>715</v>
      </c>
      <c r="T105" s="136" t="s">
        <v>715</v>
      </c>
      <c r="U105" s="136" t="s">
        <v>715</v>
      </c>
      <c r="V105" s="136" t="s">
        <v>715</v>
      </c>
      <c r="W105" s="136" t="s">
        <v>715</v>
      </c>
      <c r="X105" s="136" t="s">
        <v>715</v>
      </c>
      <c r="Y105" s="136" t="s">
        <v>715</v>
      </c>
      <c r="Z105" s="136" t="s">
        <v>715</v>
      </c>
      <c r="AA105" s="136" t="s">
        <v>715</v>
      </c>
      <c r="AB105" s="136" t="s">
        <v>715</v>
      </c>
      <c r="AC105" s="136" t="s">
        <v>715</v>
      </c>
      <c r="AD105" s="136" t="s">
        <v>715</v>
      </c>
      <c r="AE105" s="136" t="s">
        <v>715</v>
      </c>
      <c r="AF105" s="136" t="s">
        <v>715</v>
      </c>
      <c r="AG105" s="136" t="s">
        <v>715</v>
      </c>
      <c r="AH105" s="136" t="s">
        <v>715</v>
      </c>
      <c r="AI105" s="136" t="s">
        <v>715</v>
      </c>
      <c r="AJ105" s="136" t="s">
        <v>715</v>
      </c>
      <c r="AK105" s="136" t="s">
        <v>715</v>
      </c>
      <c r="AL105" s="136" t="s">
        <v>715</v>
      </c>
      <c r="AM105" s="136" t="s">
        <v>715</v>
      </c>
      <c r="AN105" s="136" t="s">
        <v>715</v>
      </c>
      <c r="AO105" s="136" t="s">
        <v>715</v>
      </c>
      <c r="AP105" s="136" t="s">
        <v>715</v>
      </c>
      <c r="AQ105" s="136" t="s">
        <v>715</v>
      </c>
      <c r="AR105" s="136" t="s">
        <v>715</v>
      </c>
      <c r="AS105" s="136" t="s">
        <v>715</v>
      </c>
      <c r="AT105" s="136" t="s">
        <v>715</v>
      </c>
      <c r="AU105" s="136" t="s">
        <v>715</v>
      </c>
      <c r="AV105" s="136" t="s">
        <v>715</v>
      </c>
      <c r="AW105" s="136" t="s">
        <v>715</v>
      </c>
      <c r="AX105" s="136" t="s">
        <v>715</v>
      </c>
      <c r="AY105" s="136" t="s">
        <v>715</v>
      </c>
      <c r="AZ105" s="136" t="s">
        <v>715</v>
      </c>
      <c r="BA105" s="136" t="s">
        <v>715</v>
      </c>
      <c r="BB105" s="136" t="s">
        <v>715</v>
      </c>
      <c r="BC105" s="136" t="s">
        <v>715</v>
      </c>
      <c r="BD105" s="136" t="s">
        <v>715</v>
      </c>
      <c r="BE105" s="136" t="s">
        <v>715</v>
      </c>
      <c r="BF105" s="136" t="s">
        <v>715</v>
      </c>
      <c r="BG105" s="136" t="s">
        <v>715</v>
      </c>
      <c r="BH105" s="136" t="s">
        <v>715</v>
      </c>
      <c r="BI105" s="136" t="s">
        <v>715</v>
      </c>
      <c r="BJ105" s="136" t="s">
        <v>715</v>
      </c>
      <c r="BK105" s="136" t="s">
        <v>715</v>
      </c>
      <c r="BL105" s="136" t="s">
        <v>715</v>
      </c>
      <c r="BM105" s="136" t="s">
        <v>715</v>
      </c>
      <c r="BN105" s="136" t="s">
        <v>715</v>
      </c>
      <c r="BO105" s="138" t="str">
        <f>IF(AND(Configurator!$E$5&lt;7,Configurator!$D$5&lt;8)," ","-7**")</f>
        <v> </v>
      </c>
      <c r="BP105" s="136" t="s">
        <v>715</v>
      </c>
      <c r="BQ105" s="136" t="s">
        <v>1189</v>
      </c>
      <c r="BR105" s="136" t="s">
        <v>715</v>
      </c>
      <c r="BS105" s="136" t="s">
        <v>1189</v>
      </c>
      <c r="BT105" s="136" t="s">
        <v>1073</v>
      </c>
      <c r="BU105" s="136" t="s">
        <v>715</v>
      </c>
      <c r="BV105" s="136" t="s">
        <v>1073</v>
      </c>
      <c r="BW105" s="136" t="s">
        <v>715</v>
      </c>
      <c r="BX105" s="136" t="s">
        <v>1073</v>
      </c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7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</row>
    <row r="106" spans="1:105" ht="15">
      <c r="A106" s="135" t="s">
        <v>1078</v>
      </c>
      <c r="B106" s="136" t="s">
        <v>1073</v>
      </c>
      <c r="C106" s="136" t="s">
        <v>1073</v>
      </c>
      <c r="D106" s="136" t="s">
        <v>1073</v>
      </c>
      <c r="E106" s="136" t="s">
        <v>1073</v>
      </c>
      <c r="F106" s="136" t="s">
        <v>1073</v>
      </c>
      <c r="G106" s="136" t="s">
        <v>1073</v>
      </c>
      <c r="H106" s="136" t="s">
        <v>1073</v>
      </c>
      <c r="I106" s="136" t="s">
        <v>1073</v>
      </c>
      <c r="J106" s="136" t="s">
        <v>1073</v>
      </c>
      <c r="K106" s="136" t="s">
        <v>1073</v>
      </c>
      <c r="L106" s="136" t="s">
        <v>1073</v>
      </c>
      <c r="M106" s="136" t="s">
        <v>1073</v>
      </c>
      <c r="N106" s="136" t="s">
        <v>1073</v>
      </c>
      <c r="O106" s="136" t="s">
        <v>1073</v>
      </c>
      <c r="P106" s="136" t="s">
        <v>1073</v>
      </c>
      <c r="Q106" s="136" t="s">
        <v>1073</v>
      </c>
      <c r="R106" s="136" t="s">
        <v>1073</v>
      </c>
      <c r="S106" s="136" t="s">
        <v>1073</v>
      </c>
      <c r="T106" s="136" t="s">
        <v>1073</v>
      </c>
      <c r="U106" s="136" t="s">
        <v>1073</v>
      </c>
      <c r="V106" s="136" t="s">
        <v>1073</v>
      </c>
      <c r="W106" s="136" t="s">
        <v>1073</v>
      </c>
      <c r="X106" s="136" t="s">
        <v>1073</v>
      </c>
      <c r="Y106" s="136" t="s">
        <v>1073</v>
      </c>
      <c r="Z106" s="136" t="s">
        <v>1073</v>
      </c>
      <c r="AA106" s="136" t="s">
        <v>1073</v>
      </c>
      <c r="AB106" s="136" t="s">
        <v>1073</v>
      </c>
      <c r="AC106" s="136" t="s">
        <v>1073</v>
      </c>
      <c r="AD106" s="136" t="s">
        <v>1073</v>
      </c>
      <c r="AE106" s="136" t="s">
        <v>1073</v>
      </c>
      <c r="AF106" s="136" t="s">
        <v>1073</v>
      </c>
      <c r="AG106" s="136" t="s">
        <v>1073</v>
      </c>
      <c r="AH106" s="136" t="s">
        <v>1073</v>
      </c>
      <c r="AI106" s="136" t="s">
        <v>1073</v>
      </c>
      <c r="AJ106" s="136" t="s">
        <v>1073</v>
      </c>
      <c r="AK106" s="136" t="s">
        <v>1073</v>
      </c>
      <c r="AL106" s="136" t="s">
        <v>1073</v>
      </c>
      <c r="AM106" s="136" t="s">
        <v>1073</v>
      </c>
      <c r="AN106" s="136" t="s">
        <v>1073</v>
      </c>
      <c r="AO106" s="136" t="s">
        <v>1073</v>
      </c>
      <c r="AP106" s="136" t="s">
        <v>1073</v>
      </c>
      <c r="AQ106" s="136" t="s">
        <v>1073</v>
      </c>
      <c r="AR106" s="136" t="s">
        <v>1073</v>
      </c>
      <c r="AS106" s="136" t="s">
        <v>1073</v>
      </c>
      <c r="AT106" s="136" t="s">
        <v>1073</v>
      </c>
      <c r="AU106" s="136" t="s">
        <v>1073</v>
      </c>
      <c r="AV106" s="136" t="s">
        <v>1073</v>
      </c>
      <c r="AW106" s="136" t="s">
        <v>1073</v>
      </c>
      <c r="AX106" s="136" t="s">
        <v>1073</v>
      </c>
      <c r="AY106" s="136" t="s">
        <v>1073</v>
      </c>
      <c r="AZ106" s="136" t="s">
        <v>1073</v>
      </c>
      <c r="BA106" s="136" t="s">
        <v>1073</v>
      </c>
      <c r="BB106" s="136" t="s">
        <v>1073</v>
      </c>
      <c r="BC106" s="136" t="s">
        <v>1073</v>
      </c>
      <c r="BD106" s="136" t="s">
        <v>1073</v>
      </c>
      <c r="BE106" s="136" t="s">
        <v>1073</v>
      </c>
      <c r="BF106" s="136" t="s">
        <v>1073</v>
      </c>
      <c r="BG106" s="136" t="s">
        <v>1073</v>
      </c>
      <c r="BH106" s="136" t="s">
        <v>1073</v>
      </c>
      <c r="BI106" s="136" t="s">
        <v>1073</v>
      </c>
      <c r="BJ106" s="136" t="s">
        <v>1073</v>
      </c>
      <c r="BK106" s="136" t="s">
        <v>1073</v>
      </c>
      <c r="BL106" s="136" t="s">
        <v>1073</v>
      </c>
      <c r="BM106" s="136" t="s">
        <v>1073</v>
      </c>
      <c r="BN106" s="136" t="s">
        <v>1073</v>
      </c>
      <c r="BO106" s="136" t="s">
        <v>1073</v>
      </c>
      <c r="BP106" s="136" t="s">
        <v>1073</v>
      </c>
      <c r="BQ106" s="136" t="s">
        <v>1073</v>
      </c>
      <c r="BR106" s="136" t="s">
        <v>1073</v>
      </c>
      <c r="BS106" s="136" t="s">
        <v>1073</v>
      </c>
      <c r="BT106" s="136" t="s">
        <v>1073</v>
      </c>
      <c r="BU106" s="136" t="s">
        <v>1073</v>
      </c>
      <c r="BV106" s="136" t="s">
        <v>1073</v>
      </c>
      <c r="BW106" s="136" t="s">
        <v>1073</v>
      </c>
      <c r="BX106" s="136" t="s">
        <v>1073</v>
      </c>
      <c r="BY106" s="277"/>
      <c r="BZ106" s="277"/>
      <c r="CA106" s="277"/>
      <c r="CB106" s="277"/>
      <c r="CC106" s="277"/>
      <c r="CD106" s="277"/>
      <c r="CE106" s="277"/>
      <c r="CF106" s="277"/>
      <c r="CG106" s="277"/>
      <c r="CH106" s="277"/>
      <c r="CI106" s="129" t="s">
        <v>1073</v>
      </c>
      <c r="CJ106" s="129" t="s">
        <v>1073</v>
      </c>
      <c r="CK106" s="129" t="s">
        <v>1073</v>
      </c>
      <c r="CL106" s="129" t="s">
        <v>1073</v>
      </c>
      <c r="CM106" s="129" t="s">
        <v>1073</v>
      </c>
      <c r="CN106" s="129" t="s">
        <v>1073</v>
      </c>
      <c r="CO106" s="129" t="s">
        <v>1073</v>
      </c>
      <c r="CP106" s="129" t="s">
        <v>1073</v>
      </c>
      <c r="CQ106" s="129" t="s">
        <v>1073</v>
      </c>
      <c r="CR106" s="129" t="s">
        <v>1073</v>
      </c>
      <c r="CS106" s="129" t="s">
        <v>1073</v>
      </c>
      <c r="CT106" s="129" t="s">
        <v>1073</v>
      </c>
      <c r="CU106" s="129" t="s">
        <v>1073</v>
      </c>
      <c r="CV106" s="129" t="s">
        <v>1073</v>
      </c>
      <c r="CW106" s="129" t="s">
        <v>1073</v>
      </c>
      <c r="CX106" s="129" t="s">
        <v>1073</v>
      </c>
      <c r="CY106" s="129" t="s">
        <v>1073</v>
      </c>
      <c r="CZ106" s="129" t="s">
        <v>1073</v>
      </c>
      <c r="DA106" s="129" t="s">
        <v>1073</v>
      </c>
    </row>
    <row r="107" spans="1:105" ht="14.25">
      <c r="A107" s="133" t="s">
        <v>1073</v>
      </c>
      <c r="B107" s="141" t="s">
        <v>1070</v>
      </c>
      <c r="C107" s="141" t="s">
        <v>1070</v>
      </c>
      <c r="D107" s="141" t="s">
        <v>1070</v>
      </c>
      <c r="E107" s="141" t="s">
        <v>1070</v>
      </c>
      <c r="F107" s="141" t="s">
        <v>1070</v>
      </c>
      <c r="G107" s="141" t="s">
        <v>1070</v>
      </c>
      <c r="H107" s="141" t="s">
        <v>1070</v>
      </c>
      <c r="I107" s="141" t="s">
        <v>1070</v>
      </c>
      <c r="J107" s="141" t="s">
        <v>1070</v>
      </c>
      <c r="K107" s="141" t="s">
        <v>1070</v>
      </c>
      <c r="L107" s="141" t="s">
        <v>1070</v>
      </c>
      <c r="M107" s="141" t="s">
        <v>1070</v>
      </c>
      <c r="N107" s="141" t="s">
        <v>1070</v>
      </c>
      <c r="O107" s="141" t="s">
        <v>1070</v>
      </c>
      <c r="P107" s="141" t="s">
        <v>1070</v>
      </c>
      <c r="Q107" s="141" t="s">
        <v>1070</v>
      </c>
      <c r="R107" s="141" t="s">
        <v>1070</v>
      </c>
      <c r="S107" s="141" t="s">
        <v>1070</v>
      </c>
      <c r="T107" s="141" t="s">
        <v>1070</v>
      </c>
      <c r="U107" s="141" t="s">
        <v>1070</v>
      </c>
      <c r="V107" s="141" t="s">
        <v>1070</v>
      </c>
      <c r="W107" s="141" t="s">
        <v>1070</v>
      </c>
      <c r="X107" s="141" t="s">
        <v>1070</v>
      </c>
      <c r="Y107" s="141" t="s">
        <v>1070</v>
      </c>
      <c r="Z107" s="141" t="s">
        <v>1070</v>
      </c>
      <c r="AA107" s="141" t="s">
        <v>1070</v>
      </c>
      <c r="AB107" s="141" t="s">
        <v>1070</v>
      </c>
      <c r="AC107" s="141" t="s">
        <v>1070</v>
      </c>
      <c r="AD107" s="141" t="s">
        <v>1070</v>
      </c>
      <c r="AE107" s="141" t="s">
        <v>1070</v>
      </c>
      <c r="AF107" s="141" t="s">
        <v>1070</v>
      </c>
      <c r="AG107" s="141" t="s">
        <v>1070</v>
      </c>
      <c r="AH107" s="141" t="s">
        <v>1070</v>
      </c>
      <c r="AI107" s="141" t="s">
        <v>1070</v>
      </c>
      <c r="AJ107" s="141" t="s">
        <v>1070</v>
      </c>
      <c r="AK107" s="141" t="s">
        <v>1070</v>
      </c>
      <c r="AL107" s="141" t="s">
        <v>1070</v>
      </c>
      <c r="AM107" s="141" t="s">
        <v>1070</v>
      </c>
      <c r="AN107" s="141" t="s">
        <v>1070</v>
      </c>
      <c r="AO107" s="141" t="s">
        <v>1070</v>
      </c>
      <c r="AP107" s="141" t="s">
        <v>1070</v>
      </c>
      <c r="AQ107" s="141" t="s">
        <v>1070</v>
      </c>
      <c r="AR107" s="141" t="s">
        <v>1070</v>
      </c>
      <c r="AS107" s="141" t="s">
        <v>1070</v>
      </c>
      <c r="AT107" s="141" t="s">
        <v>1070</v>
      </c>
      <c r="AU107" s="141" t="s">
        <v>1070</v>
      </c>
      <c r="AV107" s="141" t="s">
        <v>1070</v>
      </c>
      <c r="AW107" s="141" t="s">
        <v>1070</v>
      </c>
      <c r="AX107" s="141" t="s">
        <v>1070</v>
      </c>
      <c r="AY107" s="141" t="s">
        <v>1070</v>
      </c>
      <c r="AZ107" s="141" t="s">
        <v>1070</v>
      </c>
      <c r="BA107" s="141" t="s">
        <v>1070</v>
      </c>
      <c r="BB107" s="141" t="s">
        <v>1070</v>
      </c>
      <c r="BC107" s="141" t="s">
        <v>1070</v>
      </c>
      <c r="BD107" s="141" t="s">
        <v>1070</v>
      </c>
      <c r="BE107" s="141" t="s">
        <v>1070</v>
      </c>
      <c r="BF107" s="141" t="s">
        <v>1070</v>
      </c>
      <c r="BG107" s="141" t="s">
        <v>1070</v>
      </c>
      <c r="BH107" s="141" t="s">
        <v>1070</v>
      </c>
      <c r="BI107" s="141" t="s">
        <v>1070</v>
      </c>
      <c r="BJ107" s="141" t="s">
        <v>1070</v>
      </c>
      <c r="BK107" s="141" t="s">
        <v>1070</v>
      </c>
      <c r="BL107" s="141" t="s">
        <v>1070</v>
      </c>
      <c r="BM107" s="141" t="s">
        <v>1070</v>
      </c>
      <c r="BN107" s="141" t="s">
        <v>1070</v>
      </c>
      <c r="BO107" s="141" t="s">
        <v>1070</v>
      </c>
      <c r="BP107" s="141" t="s">
        <v>1070</v>
      </c>
      <c r="BQ107" s="141" t="s">
        <v>1070</v>
      </c>
      <c r="BR107" s="141" t="s">
        <v>1070</v>
      </c>
      <c r="BS107" s="141" t="s">
        <v>1070</v>
      </c>
      <c r="BT107" s="141" t="s">
        <v>1070</v>
      </c>
      <c r="BU107" s="141" t="s">
        <v>1070</v>
      </c>
      <c r="BV107" s="141" t="s">
        <v>1070</v>
      </c>
      <c r="BW107" s="141" t="s">
        <v>1070</v>
      </c>
      <c r="BX107" s="141" t="s">
        <v>1070</v>
      </c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29" t="s">
        <v>1073</v>
      </c>
      <c r="CJ107" s="129" t="s">
        <v>1073</v>
      </c>
      <c r="CK107" s="129" t="s">
        <v>1073</v>
      </c>
      <c r="CL107" s="129" t="s">
        <v>1073</v>
      </c>
      <c r="CM107" s="129" t="s">
        <v>1073</v>
      </c>
      <c r="CN107" s="129" t="s">
        <v>1073</v>
      </c>
      <c r="CO107" s="129" t="s">
        <v>1073</v>
      </c>
      <c r="CP107" s="129" t="s">
        <v>1073</v>
      </c>
      <c r="CQ107" s="129" t="s">
        <v>1073</v>
      </c>
      <c r="CR107" s="129" t="s">
        <v>1073</v>
      </c>
      <c r="CS107" s="129" t="s">
        <v>1073</v>
      </c>
      <c r="CT107" s="129" t="s">
        <v>1073</v>
      </c>
      <c r="CU107" s="129" t="s">
        <v>1073</v>
      </c>
      <c r="CV107" s="129" t="s">
        <v>1073</v>
      </c>
      <c r="CW107" s="129" t="s">
        <v>1073</v>
      </c>
      <c r="CX107" s="129" t="s">
        <v>1073</v>
      </c>
      <c r="CY107" s="129" t="s">
        <v>1073</v>
      </c>
      <c r="CZ107" s="129" t="s">
        <v>1073</v>
      </c>
      <c r="DA107" s="129" t="s">
        <v>1073</v>
      </c>
    </row>
    <row r="108" spans="1:105" ht="14.25">
      <c r="A108" s="133" t="s">
        <v>1073</v>
      </c>
      <c r="B108" s="134" t="s">
        <v>58</v>
      </c>
      <c r="C108" s="134" t="s">
        <v>58</v>
      </c>
      <c r="D108" s="134" t="s">
        <v>58</v>
      </c>
      <c r="E108" s="134" t="s">
        <v>58</v>
      </c>
      <c r="F108" s="134" t="s">
        <v>58</v>
      </c>
      <c r="G108" s="134" t="s">
        <v>58</v>
      </c>
      <c r="H108" s="134" t="s">
        <v>58</v>
      </c>
      <c r="I108" s="134" t="s">
        <v>58</v>
      </c>
      <c r="J108" s="134" t="s">
        <v>58</v>
      </c>
      <c r="K108" s="134" t="s">
        <v>58</v>
      </c>
      <c r="L108" s="134" t="s">
        <v>58</v>
      </c>
      <c r="M108" s="134" t="s">
        <v>58</v>
      </c>
      <c r="N108" s="134" t="s">
        <v>58</v>
      </c>
      <c r="O108" s="134" t="s">
        <v>58</v>
      </c>
      <c r="P108" s="134" t="s">
        <v>58</v>
      </c>
      <c r="Q108" s="134" t="s">
        <v>58</v>
      </c>
      <c r="R108" s="134" t="s">
        <v>58</v>
      </c>
      <c r="S108" s="134" t="s">
        <v>58</v>
      </c>
      <c r="T108" s="134" t="s">
        <v>58</v>
      </c>
      <c r="U108" s="134" t="s">
        <v>58</v>
      </c>
      <c r="V108" s="134" t="s">
        <v>58</v>
      </c>
      <c r="W108" s="134" t="s">
        <v>58</v>
      </c>
      <c r="X108" s="134" t="s">
        <v>58</v>
      </c>
      <c r="Y108" s="134" t="s">
        <v>58</v>
      </c>
      <c r="Z108" s="134" t="s">
        <v>58</v>
      </c>
      <c r="AA108" s="134" t="s">
        <v>58</v>
      </c>
      <c r="AB108" s="134" t="s">
        <v>58</v>
      </c>
      <c r="AC108" s="134" t="s">
        <v>58</v>
      </c>
      <c r="AD108" s="134" t="s">
        <v>58</v>
      </c>
      <c r="AE108" s="134" t="s">
        <v>58</v>
      </c>
      <c r="AF108" s="134" t="s">
        <v>58</v>
      </c>
      <c r="AG108" s="134" t="s">
        <v>58</v>
      </c>
      <c r="AH108" s="134" t="s">
        <v>58</v>
      </c>
      <c r="AI108" s="134" t="s">
        <v>58</v>
      </c>
      <c r="AJ108" s="134" t="s">
        <v>58</v>
      </c>
      <c r="AK108" s="134" t="s">
        <v>58</v>
      </c>
      <c r="AL108" s="134" t="s">
        <v>58</v>
      </c>
      <c r="AM108" s="134" t="s">
        <v>58</v>
      </c>
      <c r="AN108" s="134" t="s">
        <v>58</v>
      </c>
      <c r="AO108" s="134" t="s">
        <v>58</v>
      </c>
      <c r="AP108" s="134" t="s">
        <v>58</v>
      </c>
      <c r="AQ108" s="134" t="s">
        <v>58</v>
      </c>
      <c r="AR108" s="134" t="s">
        <v>58</v>
      </c>
      <c r="AS108" s="134" t="s">
        <v>58</v>
      </c>
      <c r="AT108" s="134" t="s">
        <v>58</v>
      </c>
      <c r="AU108" s="134" t="s">
        <v>58</v>
      </c>
      <c r="AV108" s="134" t="s">
        <v>58</v>
      </c>
      <c r="AW108" s="134" t="s">
        <v>58</v>
      </c>
      <c r="AX108" s="134" t="s">
        <v>58</v>
      </c>
      <c r="AY108" s="134" t="s">
        <v>58</v>
      </c>
      <c r="AZ108" s="134" t="s">
        <v>58</v>
      </c>
      <c r="BA108" s="134" t="s">
        <v>58</v>
      </c>
      <c r="BB108" s="134" t="s">
        <v>58</v>
      </c>
      <c r="BC108" s="134" t="s">
        <v>58</v>
      </c>
      <c r="BD108" s="134" t="s">
        <v>58</v>
      </c>
      <c r="BE108" s="134" t="s">
        <v>58</v>
      </c>
      <c r="BF108" s="134" t="s">
        <v>58</v>
      </c>
      <c r="BG108" s="134" t="s">
        <v>58</v>
      </c>
      <c r="BH108" s="134" t="s">
        <v>58</v>
      </c>
      <c r="BI108" s="134" t="s">
        <v>58</v>
      </c>
      <c r="BJ108" s="134" t="s">
        <v>58</v>
      </c>
      <c r="BK108" s="134" t="s">
        <v>58</v>
      </c>
      <c r="BL108" s="134" t="s">
        <v>58</v>
      </c>
      <c r="BM108" s="134" t="s">
        <v>58</v>
      </c>
      <c r="BN108" s="134" t="s">
        <v>58</v>
      </c>
      <c r="BO108" s="134" t="s">
        <v>58</v>
      </c>
      <c r="BP108" s="134" t="s">
        <v>58</v>
      </c>
      <c r="BQ108" s="134" t="s">
        <v>58</v>
      </c>
      <c r="BR108" s="134" t="s">
        <v>58</v>
      </c>
      <c r="BS108" s="134" t="s">
        <v>58</v>
      </c>
      <c r="BT108" s="134" t="s">
        <v>58</v>
      </c>
      <c r="BU108" s="134" t="s">
        <v>58</v>
      </c>
      <c r="BV108" s="134" t="s">
        <v>58</v>
      </c>
      <c r="BW108" s="134" t="s">
        <v>58</v>
      </c>
      <c r="BX108" s="134" t="s">
        <v>58</v>
      </c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29" t="s">
        <v>1073</v>
      </c>
      <c r="CJ108" s="129" t="s">
        <v>1073</v>
      </c>
      <c r="CK108" s="129" t="s">
        <v>1073</v>
      </c>
      <c r="CL108" s="129" t="s">
        <v>1073</v>
      </c>
      <c r="CM108" s="129" t="s">
        <v>1073</v>
      </c>
      <c r="CN108" s="129" t="s">
        <v>1073</v>
      </c>
      <c r="CO108" s="129" t="s">
        <v>1073</v>
      </c>
      <c r="CP108" s="129" t="s">
        <v>1073</v>
      </c>
      <c r="CQ108" s="129" t="s">
        <v>1073</v>
      </c>
      <c r="CR108" s="129" t="s">
        <v>1073</v>
      </c>
      <c r="CS108" s="129" t="s">
        <v>1073</v>
      </c>
      <c r="CT108" s="129" t="s">
        <v>1073</v>
      </c>
      <c r="CU108" s="129" t="s">
        <v>1073</v>
      </c>
      <c r="CV108" s="129" t="s">
        <v>1073</v>
      </c>
      <c r="CW108" s="129" t="s">
        <v>1073</v>
      </c>
      <c r="CX108" s="129" t="s">
        <v>1073</v>
      </c>
      <c r="CY108" s="129" t="s">
        <v>1073</v>
      </c>
      <c r="CZ108" s="129" t="s">
        <v>1073</v>
      </c>
      <c r="DA108" s="129" t="s">
        <v>1073</v>
      </c>
    </row>
    <row r="109" spans="1:105" ht="14.25">
      <c r="A109" s="133" t="s">
        <v>1073</v>
      </c>
      <c r="B109" s="134" t="s">
        <v>559</v>
      </c>
      <c r="C109" s="134" t="s">
        <v>1071</v>
      </c>
      <c r="D109" s="134" t="s">
        <v>1071</v>
      </c>
      <c r="E109" s="134" t="s">
        <v>1071</v>
      </c>
      <c r="F109" s="134" t="s">
        <v>1071</v>
      </c>
      <c r="G109" s="134" t="s">
        <v>1071</v>
      </c>
      <c r="H109" s="134" t="s">
        <v>1071</v>
      </c>
      <c r="I109" s="134" t="s">
        <v>1071</v>
      </c>
      <c r="J109" s="134" t="s">
        <v>1071</v>
      </c>
      <c r="K109" s="134" t="s">
        <v>1071</v>
      </c>
      <c r="L109" s="134" t="s">
        <v>1071</v>
      </c>
      <c r="M109" s="134" t="s">
        <v>1071</v>
      </c>
      <c r="N109" s="134" t="s">
        <v>1071</v>
      </c>
      <c r="O109" s="134" t="s">
        <v>1071</v>
      </c>
      <c r="P109" s="134" t="s">
        <v>1071</v>
      </c>
      <c r="Q109" s="134" t="s">
        <v>1071</v>
      </c>
      <c r="R109" s="134" t="s">
        <v>1071</v>
      </c>
      <c r="S109" s="134" t="s">
        <v>1071</v>
      </c>
      <c r="T109" s="134" t="s">
        <v>1071</v>
      </c>
      <c r="U109" s="134" t="s">
        <v>1071</v>
      </c>
      <c r="V109" s="134" t="s">
        <v>1071</v>
      </c>
      <c r="W109" s="134" t="s">
        <v>1071</v>
      </c>
      <c r="X109" s="134" t="s">
        <v>1071</v>
      </c>
      <c r="Y109" s="134" t="s">
        <v>1071</v>
      </c>
      <c r="Z109" s="134" t="s">
        <v>1071</v>
      </c>
      <c r="AA109" s="134" t="s">
        <v>1071</v>
      </c>
      <c r="AB109" s="134" t="s">
        <v>1071</v>
      </c>
      <c r="AC109" s="134" t="s">
        <v>1071</v>
      </c>
      <c r="AD109" s="134" t="s">
        <v>1071</v>
      </c>
      <c r="AE109" s="134" t="s">
        <v>1071</v>
      </c>
      <c r="AF109" s="134" t="s">
        <v>1071</v>
      </c>
      <c r="AG109" s="134" t="s">
        <v>1071</v>
      </c>
      <c r="AH109" s="134" t="s">
        <v>1071</v>
      </c>
      <c r="AI109" s="134" t="s">
        <v>1071</v>
      </c>
      <c r="AJ109" s="134" t="s">
        <v>1071</v>
      </c>
      <c r="AK109" s="134" t="s">
        <v>1071</v>
      </c>
      <c r="AL109" s="134" t="s">
        <v>1071</v>
      </c>
      <c r="AM109" s="134" t="s">
        <v>1071</v>
      </c>
      <c r="AN109" s="134" t="s">
        <v>1071</v>
      </c>
      <c r="AO109" s="134" t="s">
        <v>1071</v>
      </c>
      <c r="AP109" s="134" t="s">
        <v>1071</v>
      </c>
      <c r="AQ109" s="134" t="s">
        <v>1071</v>
      </c>
      <c r="AR109" s="134" t="s">
        <v>1071</v>
      </c>
      <c r="AS109" s="134" t="s">
        <v>1071</v>
      </c>
      <c r="AT109" s="134" t="s">
        <v>1071</v>
      </c>
      <c r="AU109" s="134" t="s">
        <v>1071</v>
      </c>
      <c r="AV109" s="134" t="s">
        <v>1071</v>
      </c>
      <c r="AW109" s="134" t="s">
        <v>1071</v>
      </c>
      <c r="AX109" s="134" t="s">
        <v>1071</v>
      </c>
      <c r="AY109" s="134" t="s">
        <v>1071</v>
      </c>
      <c r="AZ109" s="134" t="s">
        <v>1071</v>
      </c>
      <c r="BA109" s="134" t="s">
        <v>1071</v>
      </c>
      <c r="BB109" s="134" t="s">
        <v>1071</v>
      </c>
      <c r="BC109" s="134" t="s">
        <v>1071</v>
      </c>
      <c r="BD109" s="134" t="s">
        <v>1071</v>
      </c>
      <c r="BE109" s="134" t="s">
        <v>1071</v>
      </c>
      <c r="BF109" s="134" t="s">
        <v>1071</v>
      </c>
      <c r="BG109" s="134" t="s">
        <v>1071</v>
      </c>
      <c r="BH109" s="134" t="s">
        <v>1071</v>
      </c>
      <c r="BI109" s="134" t="s">
        <v>1071</v>
      </c>
      <c r="BJ109" s="134" t="s">
        <v>1071</v>
      </c>
      <c r="BK109" s="134" t="s">
        <v>1071</v>
      </c>
      <c r="BL109" s="134" t="s">
        <v>1071</v>
      </c>
      <c r="BM109" s="134" t="s">
        <v>1071</v>
      </c>
      <c r="BN109" s="134" t="s">
        <v>1071</v>
      </c>
      <c r="BO109" s="134" t="s">
        <v>1071</v>
      </c>
      <c r="BP109" s="134" t="s">
        <v>1071</v>
      </c>
      <c r="BQ109" s="134" t="s">
        <v>1071</v>
      </c>
      <c r="BR109" s="134" t="s">
        <v>1071</v>
      </c>
      <c r="BS109" s="134" t="s">
        <v>1071</v>
      </c>
      <c r="BT109" s="134" t="s">
        <v>1071</v>
      </c>
      <c r="BU109" s="134" t="s">
        <v>1071</v>
      </c>
      <c r="BV109" s="134" t="s">
        <v>1071</v>
      </c>
      <c r="BW109" s="134" t="s">
        <v>1071</v>
      </c>
      <c r="BX109" s="134" t="s">
        <v>1071</v>
      </c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29" t="s">
        <v>1073</v>
      </c>
      <c r="CJ109" s="129" t="s">
        <v>1073</v>
      </c>
      <c r="CK109" s="129" t="s">
        <v>1073</v>
      </c>
      <c r="CL109" s="129" t="s">
        <v>1073</v>
      </c>
      <c r="CM109" s="129" t="s">
        <v>1073</v>
      </c>
      <c r="CN109" s="129" t="s">
        <v>1073</v>
      </c>
      <c r="CO109" s="129" t="s">
        <v>1073</v>
      </c>
      <c r="CP109" s="129" t="s">
        <v>1073</v>
      </c>
      <c r="CQ109" s="129" t="s">
        <v>1073</v>
      </c>
      <c r="CR109" s="129" t="s">
        <v>1073</v>
      </c>
      <c r="CS109" s="129" t="s">
        <v>1073</v>
      </c>
      <c r="CT109" s="129" t="s">
        <v>1073</v>
      </c>
      <c r="CU109" s="129" t="s">
        <v>1073</v>
      </c>
      <c r="CV109" s="129" t="s">
        <v>1073</v>
      </c>
      <c r="CW109" s="129" t="s">
        <v>1073</v>
      </c>
      <c r="CX109" s="129" t="s">
        <v>1073</v>
      </c>
      <c r="CY109" s="129" t="s">
        <v>1073</v>
      </c>
      <c r="CZ109" s="129" t="s">
        <v>1073</v>
      </c>
      <c r="DA109" s="129" t="s">
        <v>1073</v>
      </c>
    </row>
    <row r="110" spans="1:105" ht="14.25">
      <c r="A110" s="133" t="s">
        <v>1073</v>
      </c>
      <c r="B110" s="134" t="s">
        <v>1213</v>
      </c>
      <c r="C110" s="134" t="s">
        <v>1213</v>
      </c>
      <c r="D110" s="134" t="s">
        <v>1213</v>
      </c>
      <c r="E110" s="134" t="s">
        <v>1213</v>
      </c>
      <c r="F110" s="134" t="s">
        <v>1213</v>
      </c>
      <c r="G110" s="134" t="s">
        <v>1213</v>
      </c>
      <c r="H110" s="134" t="s">
        <v>1213</v>
      </c>
      <c r="I110" s="134" t="s">
        <v>1213</v>
      </c>
      <c r="J110" s="134" t="s">
        <v>1213</v>
      </c>
      <c r="K110" s="134" t="s">
        <v>1213</v>
      </c>
      <c r="L110" s="134" t="s">
        <v>1213</v>
      </c>
      <c r="M110" s="134" t="s">
        <v>1213</v>
      </c>
      <c r="N110" s="134" t="s">
        <v>1072</v>
      </c>
      <c r="O110" s="134" t="s">
        <v>1072</v>
      </c>
      <c r="P110" s="134" t="s">
        <v>1072</v>
      </c>
      <c r="Q110" s="134" t="s">
        <v>1072</v>
      </c>
      <c r="R110" s="134" t="s">
        <v>1072</v>
      </c>
      <c r="S110" s="134" t="s">
        <v>1072</v>
      </c>
      <c r="T110" s="134" t="s">
        <v>1072</v>
      </c>
      <c r="U110" s="134" t="s">
        <v>1072</v>
      </c>
      <c r="V110" s="134" t="s">
        <v>1072</v>
      </c>
      <c r="W110" s="134" t="s">
        <v>1072</v>
      </c>
      <c r="X110" s="134" t="s">
        <v>1072</v>
      </c>
      <c r="Y110" s="134" t="s">
        <v>1072</v>
      </c>
      <c r="Z110" s="134" t="s">
        <v>1072</v>
      </c>
      <c r="AA110" s="134" t="s">
        <v>1072</v>
      </c>
      <c r="AB110" s="134" t="s">
        <v>1072</v>
      </c>
      <c r="AC110" s="134" t="s">
        <v>1072</v>
      </c>
      <c r="AD110" s="134" t="s">
        <v>1072</v>
      </c>
      <c r="AE110" s="134" t="s">
        <v>1072</v>
      </c>
      <c r="AF110" s="134" t="s">
        <v>1072</v>
      </c>
      <c r="AG110" s="134" t="s">
        <v>1213</v>
      </c>
      <c r="AH110" s="134" t="s">
        <v>1072</v>
      </c>
      <c r="AI110" s="134" t="s">
        <v>1072</v>
      </c>
      <c r="AJ110" s="134" t="s">
        <v>1072</v>
      </c>
      <c r="AK110" s="134" t="s">
        <v>1072</v>
      </c>
      <c r="AL110" s="134" t="s">
        <v>1072</v>
      </c>
      <c r="AM110" s="134" t="s">
        <v>1072</v>
      </c>
      <c r="AN110" s="134" t="s">
        <v>1072</v>
      </c>
      <c r="AO110" s="134" t="s">
        <v>1072</v>
      </c>
      <c r="AP110" s="134" t="s">
        <v>1072</v>
      </c>
      <c r="AQ110" s="134" t="s">
        <v>1072</v>
      </c>
      <c r="AR110" s="134" t="s">
        <v>1072</v>
      </c>
      <c r="AS110" s="134" t="s">
        <v>1072</v>
      </c>
      <c r="AT110" s="134" t="s">
        <v>1072</v>
      </c>
      <c r="AU110" s="134" t="s">
        <v>1072</v>
      </c>
      <c r="AV110" s="134" t="s">
        <v>1072</v>
      </c>
      <c r="AW110" s="134" t="s">
        <v>1072</v>
      </c>
      <c r="AX110" s="134" t="s">
        <v>1072</v>
      </c>
      <c r="AY110" s="134" t="s">
        <v>1072</v>
      </c>
      <c r="AZ110" s="134" t="s">
        <v>1072</v>
      </c>
      <c r="BA110" s="134" t="s">
        <v>1072</v>
      </c>
      <c r="BB110" s="134" t="s">
        <v>1072</v>
      </c>
      <c r="BC110" s="134" t="s">
        <v>1072</v>
      </c>
      <c r="BD110" s="134" t="s">
        <v>1072</v>
      </c>
      <c r="BE110" s="134" t="s">
        <v>1072</v>
      </c>
      <c r="BF110" s="134" t="s">
        <v>1072</v>
      </c>
      <c r="BG110" s="134" t="s">
        <v>1072</v>
      </c>
      <c r="BH110" s="134" t="s">
        <v>1072</v>
      </c>
      <c r="BI110" s="134" t="s">
        <v>1072</v>
      </c>
      <c r="BJ110" s="134" t="s">
        <v>1072</v>
      </c>
      <c r="BK110" s="134" t="s">
        <v>1072</v>
      </c>
      <c r="BL110" s="134" t="s">
        <v>1072</v>
      </c>
      <c r="BM110" s="134" t="s">
        <v>1072</v>
      </c>
      <c r="BN110" s="134" t="s">
        <v>1072</v>
      </c>
      <c r="BO110" s="134" t="s">
        <v>1072</v>
      </c>
      <c r="BP110" s="134" t="s">
        <v>1072</v>
      </c>
      <c r="BQ110" s="134" t="s">
        <v>1072</v>
      </c>
      <c r="BR110" s="134" t="s">
        <v>1072</v>
      </c>
      <c r="BS110" s="134" t="s">
        <v>1072</v>
      </c>
      <c r="BT110" s="134" t="s">
        <v>1072</v>
      </c>
      <c r="BU110" s="134" t="s">
        <v>1072</v>
      </c>
      <c r="BV110" s="134" t="s">
        <v>1072</v>
      </c>
      <c r="BW110" s="134" t="s">
        <v>1072</v>
      </c>
      <c r="BX110" s="134" t="s">
        <v>1072</v>
      </c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29" t="s">
        <v>1073</v>
      </c>
      <c r="CJ110" s="129" t="s">
        <v>1073</v>
      </c>
      <c r="CK110" s="129" t="s">
        <v>1073</v>
      </c>
      <c r="CL110" s="129" t="s">
        <v>1073</v>
      </c>
      <c r="CM110" s="129" t="s">
        <v>1073</v>
      </c>
      <c r="CN110" s="129" t="s">
        <v>1073</v>
      </c>
      <c r="CO110" s="129" t="s">
        <v>1073</v>
      </c>
      <c r="CP110" s="129" t="s">
        <v>1073</v>
      </c>
      <c r="CQ110" s="129" t="s">
        <v>1073</v>
      </c>
      <c r="CR110" s="129" t="s">
        <v>1073</v>
      </c>
      <c r="CS110" s="129" t="s">
        <v>1073</v>
      </c>
      <c r="CT110" s="129" t="s">
        <v>1073</v>
      </c>
      <c r="CU110" s="129" t="s">
        <v>1073</v>
      </c>
      <c r="CV110" s="129" t="s">
        <v>1073</v>
      </c>
      <c r="CW110" s="129" t="s">
        <v>1073</v>
      </c>
      <c r="CX110" s="129" t="s">
        <v>1073</v>
      </c>
      <c r="CY110" s="129" t="s">
        <v>1073</v>
      </c>
      <c r="CZ110" s="129" t="s">
        <v>1073</v>
      </c>
      <c r="DA110" s="129" t="s">
        <v>1073</v>
      </c>
    </row>
    <row r="111" spans="1:105" ht="14.25">
      <c r="A111" s="133" t="s">
        <v>1073</v>
      </c>
      <c r="B111" s="134" t="s">
        <v>1214</v>
      </c>
      <c r="C111" s="134" t="s">
        <v>1214</v>
      </c>
      <c r="D111" s="134" t="s">
        <v>1214</v>
      </c>
      <c r="E111" s="134" t="s">
        <v>1214</v>
      </c>
      <c r="F111" s="134" t="s">
        <v>1214</v>
      </c>
      <c r="G111" s="134" t="s">
        <v>1214</v>
      </c>
      <c r="H111" s="134" t="s">
        <v>1214</v>
      </c>
      <c r="I111" s="134" t="s">
        <v>1214</v>
      </c>
      <c r="J111" s="134" t="s">
        <v>1214</v>
      </c>
      <c r="K111" s="134" t="s">
        <v>1214</v>
      </c>
      <c r="L111" s="134" t="s">
        <v>1214</v>
      </c>
      <c r="M111" s="134" t="s">
        <v>1214</v>
      </c>
      <c r="N111" s="134" t="s">
        <v>1214</v>
      </c>
      <c r="O111" s="134" t="s">
        <v>1214</v>
      </c>
      <c r="P111" s="134" t="s">
        <v>1086</v>
      </c>
      <c r="Q111" s="134" t="s">
        <v>1086</v>
      </c>
      <c r="R111" s="134" t="s">
        <v>1086</v>
      </c>
      <c r="S111" s="134" t="s">
        <v>1086</v>
      </c>
      <c r="T111" s="134" t="s">
        <v>1086</v>
      </c>
      <c r="U111" s="134" t="s">
        <v>1086</v>
      </c>
      <c r="V111" s="134" t="s">
        <v>1086</v>
      </c>
      <c r="W111" s="134" t="s">
        <v>1086</v>
      </c>
      <c r="X111" s="134" t="s">
        <v>1086</v>
      </c>
      <c r="Y111" s="134" t="s">
        <v>1086</v>
      </c>
      <c r="Z111" s="134" t="s">
        <v>1086</v>
      </c>
      <c r="AA111" s="134" t="s">
        <v>1086</v>
      </c>
      <c r="AB111" s="134" t="s">
        <v>1086</v>
      </c>
      <c r="AC111" s="134" t="s">
        <v>1086</v>
      </c>
      <c r="AD111" s="134" t="s">
        <v>1086</v>
      </c>
      <c r="AE111" s="134" t="s">
        <v>1086</v>
      </c>
      <c r="AF111" s="134" t="s">
        <v>1086</v>
      </c>
      <c r="AG111" s="134" t="s">
        <v>1214</v>
      </c>
      <c r="AH111" s="134" t="s">
        <v>1086</v>
      </c>
      <c r="AI111" s="134" t="s">
        <v>1086</v>
      </c>
      <c r="AJ111" s="134" t="s">
        <v>1086</v>
      </c>
      <c r="AK111" s="134" t="s">
        <v>1086</v>
      </c>
      <c r="AL111" s="134" t="s">
        <v>1086</v>
      </c>
      <c r="AM111" s="134" t="s">
        <v>1086</v>
      </c>
      <c r="AN111" s="134" t="s">
        <v>1086</v>
      </c>
      <c r="AO111" s="134" t="s">
        <v>1086</v>
      </c>
      <c r="AP111" s="134" t="s">
        <v>1086</v>
      </c>
      <c r="AQ111" s="134" t="s">
        <v>1086</v>
      </c>
      <c r="AR111" s="134" t="s">
        <v>1086</v>
      </c>
      <c r="AS111" s="134" t="s">
        <v>1086</v>
      </c>
      <c r="AT111" s="134" t="s">
        <v>1086</v>
      </c>
      <c r="AU111" s="134" t="s">
        <v>1086</v>
      </c>
      <c r="AV111" s="134" t="s">
        <v>1086</v>
      </c>
      <c r="AW111" s="134" t="s">
        <v>1086</v>
      </c>
      <c r="AX111" s="134" t="s">
        <v>1086</v>
      </c>
      <c r="AY111" s="134" t="s">
        <v>1086</v>
      </c>
      <c r="AZ111" s="134" t="s">
        <v>1086</v>
      </c>
      <c r="BA111" s="134" t="s">
        <v>1086</v>
      </c>
      <c r="BB111" s="134" t="s">
        <v>1086</v>
      </c>
      <c r="BC111" s="134" t="s">
        <v>1086</v>
      </c>
      <c r="BD111" s="134" t="s">
        <v>1086</v>
      </c>
      <c r="BE111" s="134" t="s">
        <v>1086</v>
      </c>
      <c r="BF111" s="134" t="s">
        <v>1086</v>
      </c>
      <c r="BG111" s="134" t="s">
        <v>1086</v>
      </c>
      <c r="BH111" s="134" t="s">
        <v>1086</v>
      </c>
      <c r="BI111" s="134" t="s">
        <v>1086</v>
      </c>
      <c r="BJ111" s="134" t="s">
        <v>1086</v>
      </c>
      <c r="BK111" s="134" t="s">
        <v>1086</v>
      </c>
      <c r="BL111" s="134" t="s">
        <v>1086</v>
      </c>
      <c r="BM111" s="134" t="s">
        <v>1086</v>
      </c>
      <c r="BN111" s="134" t="s">
        <v>1086</v>
      </c>
      <c r="BO111" s="134" t="s">
        <v>1086</v>
      </c>
      <c r="BP111" s="134" t="s">
        <v>1086</v>
      </c>
      <c r="BQ111" s="134" t="s">
        <v>1086</v>
      </c>
      <c r="BR111" s="134" t="s">
        <v>1086</v>
      </c>
      <c r="BS111" s="134" t="s">
        <v>1086</v>
      </c>
      <c r="BT111" s="134" t="s">
        <v>1086</v>
      </c>
      <c r="BU111" s="134" t="s">
        <v>1086</v>
      </c>
      <c r="BV111" s="134" t="s">
        <v>1086</v>
      </c>
      <c r="BW111" s="134" t="s">
        <v>1086</v>
      </c>
      <c r="BX111" s="134" t="s">
        <v>1086</v>
      </c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29" t="s">
        <v>1073</v>
      </c>
      <c r="CJ111" s="129" t="s">
        <v>1073</v>
      </c>
      <c r="CK111" s="129" t="s">
        <v>1073</v>
      </c>
      <c r="CL111" s="129" t="s">
        <v>1073</v>
      </c>
      <c r="CM111" s="129" t="s">
        <v>1073</v>
      </c>
      <c r="CN111" s="129" t="s">
        <v>1073</v>
      </c>
      <c r="CO111" s="129" t="s">
        <v>1073</v>
      </c>
      <c r="CP111" s="129" t="s">
        <v>1073</v>
      </c>
      <c r="CQ111" s="129" t="s">
        <v>1073</v>
      </c>
      <c r="CR111" s="129" t="s">
        <v>1073</v>
      </c>
      <c r="CS111" s="129" t="s">
        <v>1073</v>
      </c>
      <c r="CT111" s="129" t="s">
        <v>1073</v>
      </c>
      <c r="CU111" s="129" t="s">
        <v>1073</v>
      </c>
      <c r="CV111" s="129" t="s">
        <v>1073</v>
      </c>
      <c r="CW111" s="129" t="s">
        <v>1073</v>
      </c>
      <c r="CX111" s="129" t="s">
        <v>1073</v>
      </c>
      <c r="CY111" s="129" t="s">
        <v>1073</v>
      </c>
      <c r="CZ111" s="129" t="s">
        <v>1073</v>
      </c>
      <c r="DA111" s="129" t="s">
        <v>1073</v>
      </c>
    </row>
    <row r="112" spans="1:105" ht="14.25">
      <c r="A112" s="133" t="s">
        <v>1073</v>
      </c>
      <c r="B112" s="134" t="s">
        <v>21</v>
      </c>
      <c r="C112" s="134" t="s">
        <v>21</v>
      </c>
      <c r="D112" s="134" t="s">
        <v>21</v>
      </c>
      <c r="E112" s="134" t="s">
        <v>21</v>
      </c>
      <c r="F112" s="134" t="s">
        <v>21</v>
      </c>
      <c r="G112" s="134" t="s">
        <v>21</v>
      </c>
      <c r="H112" s="134" t="s">
        <v>21</v>
      </c>
      <c r="I112" s="134" t="s">
        <v>21</v>
      </c>
      <c r="J112" s="134" t="s">
        <v>21</v>
      </c>
      <c r="K112" s="134" t="s">
        <v>21</v>
      </c>
      <c r="L112" s="134" t="s">
        <v>21</v>
      </c>
      <c r="M112" s="134" t="s">
        <v>21</v>
      </c>
      <c r="N112" s="134" t="s">
        <v>21</v>
      </c>
      <c r="O112" s="134" t="s">
        <v>21</v>
      </c>
      <c r="P112" s="134" t="s">
        <v>21</v>
      </c>
      <c r="Q112" s="134" t="s">
        <v>21</v>
      </c>
      <c r="R112" s="134" t="s">
        <v>21</v>
      </c>
      <c r="S112" s="134" t="s">
        <v>21</v>
      </c>
      <c r="T112" s="134" t="s">
        <v>21</v>
      </c>
      <c r="U112" s="134" t="s">
        <v>21</v>
      </c>
      <c r="V112" s="134" t="s">
        <v>21</v>
      </c>
      <c r="W112" s="134" t="s">
        <v>21</v>
      </c>
      <c r="X112" s="134" t="s">
        <v>21</v>
      </c>
      <c r="Y112" s="134" t="s">
        <v>21</v>
      </c>
      <c r="Z112" s="134" t="s">
        <v>21</v>
      </c>
      <c r="AA112" s="134" t="s">
        <v>21</v>
      </c>
      <c r="AB112" s="134" t="s">
        <v>21</v>
      </c>
      <c r="AC112" s="134" t="s">
        <v>21</v>
      </c>
      <c r="AD112" s="134" t="s">
        <v>21</v>
      </c>
      <c r="AE112" s="134" t="s">
        <v>21</v>
      </c>
      <c r="AF112" s="134" t="s">
        <v>21</v>
      </c>
      <c r="AG112" s="134" t="s">
        <v>21</v>
      </c>
      <c r="AH112" s="134" t="s">
        <v>21</v>
      </c>
      <c r="AI112" s="134" t="s">
        <v>21</v>
      </c>
      <c r="AJ112" s="134" t="s">
        <v>21</v>
      </c>
      <c r="AK112" s="134" t="s">
        <v>21</v>
      </c>
      <c r="AL112" s="134" t="s">
        <v>21</v>
      </c>
      <c r="AM112" s="134" t="s">
        <v>21</v>
      </c>
      <c r="AN112" s="134" t="s">
        <v>21</v>
      </c>
      <c r="AO112" s="134" t="s">
        <v>21</v>
      </c>
      <c r="AP112" s="134" t="s">
        <v>21</v>
      </c>
      <c r="AQ112" s="134" t="s">
        <v>21</v>
      </c>
      <c r="AR112" s="134" t="s">
        <v>21</v>
      </c>
      <c r="AS112" s="134" t="s">
        <v>21</v>
      </c>
      <c r="AT112" s="134" t="s">
        <v>21</v>
      </c>
      <c r="AU112" s="134" t="s">
        <v>21</v>
      </c>
      <c r="AV112" s="134" t="s">
        <v>21</v>
      </c>
      <c r="AW112" s="134" t="s">
        <v>21</v>
      </c>
      <c r="AX112" s="134" t="s">
        <v>21</v>
      </c>
      <c r="AY112" s="134" t="s">
        <v>21</v>
      </c>
      <c r="AZ112" s="134" t="s">
        <v>21</v>
      </c>
      <c r="BA112" s="134" t="s">
        <v>21</v>
      </c>
      <c r="BB112" s="134" t="s">
        <v>21</v>
      </c>
      <c r="BC112" s="134" t="s">
        <v>21</v>
      </c>
      <c r="BD112" s="134" t="s">
        <v>21</v>
      </c>
      <c r="BE112" s="134" t="s">
        <v>21</v>
      </c>
      <c r="BF112" s="134" t="s">
        <v>21</v>
      </c>
      <c r="BG112" s="134" t="s">
        <v>21</v>
      </c>
      <c r="BH112" s="134" t="s">
        <v>21</v>
      </c>
      <c r="BI112" s="134" t="s">
        <v>21</v>
      </c>
      <c r="BJ112" s="134" t="s">
        <v>21</v>
      </c>
      <c r="BK112" s="134" t="s">
        <v>21</v>
      </c>
      <c r="BL112" s="134" t="s">
        <v>168</v>
      </c>
      <c r="BM112" s="134" t="s">
        <v>168</v>
      </c>
      <c r="BN112" s="134" t="s">
        <v>168</v>
      </c>
      <c r="BO112" s="134" t="s">
        <v>168</v>
      </c>
      <c r="BP112" s="134" t="s">
        <v>21</v>
      </c>
      <c r="BQ112" s="134" t="s">
        <v>168</v>
      </c>
      <c r="BR112" s="134" t="s">
        <v>168</v>
      </c>
      <c r="BS112" s="134" t="s">
        <v>168</v>
      </c>
      <c r="BT112" s="134" t="s">
        <v>168</v>
      </c>
      <c r="BU112" s="134" t="s">
        <v>21</v>
      </c>
      <c r="BV112" s="134" t="s">
        <v>168</v>
      </c>
      <c r="BW112" s="134" t="s">
        <v>168</v>
      </c>
      <c r="BX112" s="134" t="s">
        <v>168</v>
      </c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29" t="s">
        <v>1073</v>
      </c>
      <c r="CJ112" s="129" t="s">
        <v>1073</v>
      </c>
      <c r="CK112" s="129" t="s">
        <v>1073</v>
      </c>
      <c r="CL112" s="129" t="s">
        <v>1073</v>
      </c>
      <c r="CM112" s="129" t="s">
        <v>1073</v>
      </c>
      <c r="CN112" s="129" t="s">
        <v>1073</v>
      </c>
      <c r="CO112" s="129" t="s">
        <v>1073</v>
      </c>
      <c r="CP112" s="129" t="s">
        <v>1073</v>
      </c>
      <c r="CQ112" s="129" t="s">
        <v>1073</v>
      </c>
      <c r="CR112" s="129" t="s">
        <v>1073</v>
      </c>
      <c r="CS112" s="129" t="s">
        <v>1073</v>
      </c>
      <c r="CT112" s="129" t="s">
        <v>1073</v>
      </c>
      <c r="CU112" s="129" t="s">
        <v>1073</v>
      </c>
      <c r="CV112" s="129" t="s">
        <v>1073</v>
      </c>
      <c r="CW112" s="129" t="s">
        <v>1073</v>
      </c>
      <c r="CX112" s="129" t="s">
        <v>1073</v>
      </c>
      <c r="CY112" s="129" t="s">
        <v>1073</v>
      </c>
      <c r="CZ112" s="129" t="s">
        <v>1073</v>
      </c>
      <c r="DA112" s="129" t="s">
        <v>1073</v>
      </c>
    </row>
    <row r="113" spans="1:103" s="154" customFormat="1" ht="14.25">
      <c r="A113" s="142" t="s">
        <v>1073</v>
      </c>
      <c r="B113" s="134" t="s">
        <v>34</v>
      </c>
      <c r="C113" s="134" t="s">
        <v>34</v>
      </c>
      <c r="D113" s="134" t="s">
        <v>34</v>
      </c>
      <c r="E113" s="134" t="s">
        <v>34</v>
      </c>
      <c r="F113" s="134" t="s">
        <v>34</v>
      </c>
      <c r="G113" s="134" t="s">
        <v>34</v>
      </c>
      <c r="H113" s="134" t="s">
        <v>34</v>
      </c>
      <c r="I113" s="134" t="s">
        <v>20</v>
      </c>
      <c r="J113" s="134" t="s">
        <v>20</v>
      </c>
      <c r="K113" s="134" t="s">
        <v>20</v>
      </c>
      <c r="L113" s="134" t="s">
        <v>20</v>
      </c>
      <c r="M113" s="134" t="s">
        <v>20</v>
      </c>
      <c r="N113" s="134" t="s">
        <v>20</v>
      </c>
      <c r="O113" s="134" t="s">
        <v>20</v>
      </c>
      <c r="P113" s="134" t="s">
        <v>20</v>
      </c>
      <c r="Q113" s="134" t="s">
        <v>20</v>
      </c>
      <c r="R113" s="134" t="s">
        <v>20</v>
      </c>
      <c r="S113" s="134" t="s">
        <v>20</v>
      </c>
      <c r="T113" s="134" t="s">
        <v>20</v>
      </c>
      <c r="U113" s="134" t="s">
        <v>20</v>
      </c>
      <c r="V113" s="134" t="s">
        <v>20</v>
      </c>
      <c r="W113" s="134" t="s">
        <v>20</v>
      </c>
      <c r="X113" s="134" t="s">
        <v>20</v>
      </c>
      <c r="Y113" s="134" t="s">
        <v>20</v>
      </c>
      <c r="Z113" s="134" t="s">
        <v>20</v>
      </c>
      <c r="AA113" s="134" t="s">
        <v>20</v>
      </c>
      <c r="AB113" s="134" t="s">
        <v>20</v>
      </c>
      <c r="AC113" s="134" t="s">
        <v>20</v>
      </c>
      <c r="AD113" s="134" t="s">
        <v>20</v>
      </c>
      <c r="AE113" s="134" t="s">
        <v>20</v>
      </c>
      <c r="AF113" s="134" t="s">
        <v>20</v>
      </c>
      <c r="AG113" s="134" t="s">
        <v>34</v>
      </c>
      <c r="AH113" s="134" t="s">
        <v>20</v>
      </c>
      <c r="AI113" s="134" t="s">
        <v>20</v>
      </c>
      <c r="AJ113" s="134" t="s">
        <v>20</v>
      </c>
      <c r="AK113" s="134" t="s">
        <v>20</v>
      </c>
      <c r="AL113" s="134" t="s">
        <v>20</v>
      </c>
      <c r="AM113" s="134" t="s">
        <v>20</v>
      </c>
      <c r="AN113" s="134" t="s">
        <v>20</v>
      </c>
      <c r="AO113" s="134" t="s">
        <v>20</v>
      </c>
      <c r="AP113" s="134" t="s">
        <v>20</v>
      </c>
      <c r="AQ113" s="134" t="s">
        <v>20</v>
      </c>
      <c r="AR113" s="134" t="s">
        <v>20</v>
      </c>
      <c r="AS113" s="134" t="s">
        <v>20</v>
      </c>
      <c r="AT113" s="134" t="s">
        <v>20</v>
      </c>
      <c r="AU113" s="134" t="s">
        <v>20</v>
      </c>
      <c r="AV113" s="134" t="s">
        <v>20</v>
      </c>
      <c r="AW113" s="134" t="s">
        <v>20</v>
      </c>
      <c r="AX113" s="134" t="s">
        <v>20</v>
      </c>
      <c r="AY113" s="134" t="s">
        <v>20</v>
      </c>
      <c r="AZ113" s="134" t="s">
        <v>20</v>
      </c>
      <c r="BA113" s="134" t="s">
        <v>20</v>
      </c>
      <c r="BB113" s="134" t="s">
        <v>20</v>
      </c>
      <c r="BC113" s="134" t="s">
        <v>20</v>
      </c>
      <c r="BD113" s="134" t="s">
        <v>20</v>
      </c>
      <c r="BE113" s="134" t="s">
        <v>20</v>
      </c>
      <c r="BF113" s="134" t="s">
        <v>20</v>
      </c>
      <c r="BG113" s="134" t="s">
        <v>20</v>
      </c>
      <c r="BH113" s="134" t="s">
        <v>20</v>
      </c>
      <c r="BI113" s="134" t="s">
        <v>20</v>
      </c>
      <c r="BJ113" s="134" t="s">
        <v>20</v>
      </c>
      <c r="BK113" s="134" t="s">
        <v>20</v>
      </c>
      <c r="BL113" s="134" t="s">
        <v>20</v>
      </c>
      <c r="BM113" s="134" t="s">
        <v>20</v>
      </c>
      <c r="BN113" s="134" t="s">
        <v>20</v>
      </c>
      <c r="BO113" s="134" t="s">
        <v>20</v>
      </c>
      <c r="BP113" s="134" t="s">
        <v>20</v>
      </c>
      <c r="BQ113" s="134" t="s">
        <v>20</v>
      </c>
      <c r="BR113" s="134" t="s">
        <v>20</v>
      </c>
      <c r="BS113" s="134" t="s">
        <v>20</v>
      </c>
      <c r="BT113" s="134" t="s">
        <v>20</v>
      </c>
      <c r="BU113" s="134" t="s">
        <v>20</v>
      </c>
      <c r="BV113" s="134" t="s">
        <v>20</v>
      </c>
      <c r="BW113" s="134" t="s">
        <v>20</v>
      </c>
      <c r="BX113" s="134" t="s">
        <v>20</v>
      </c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8" t="s">
        <v>1073</v>
      </c>
      <c r="CJ113" s="198" t="s">
        <v>1073</v>
      </c>
      <c r="CK113" s="198" t="s">
        <v>1073</v>
      </c>
      <c r="CL113" s="198" t="s">
        <v>1073</v>
      </c>
      <c r="CM113" s="198" t="s">
        <v>1073</v>
      </c>
      <c r="CN113" s="198" t="s">
        <v>1073</v>
      </c>
      <c r="CO113" s="198" t="s">
        <v>1073</v>
      </c>
      <c r="CP113" s="198" t="s">
        <v>1073</v>
      </c>
      <c r="CQ113" s="198" t="s">
        <v>1073</v>
      </c>
      <c r="CR113" s="198" t="s">
        <v>1073</v>
      </c>
      <c r="CS113" s="198" t="s">
        <v>1073</v>
      </c>
      <c r="CT113" s="198" t="s">
        <v>1073</v>
      </c>
      <c r="CU113" s="198" t="s">
        <v>1073</v>
      </c>
      <c r="CV113" s="198" t="s">
        <v>1073</v>
      </c>
      <c r="CW113" s="198" t="s">
        <v>1073</v>
      </c>
      <c r="CX113" s="198" t="s">
        <v>1073</v>
      </c>
      <c r="CY113" s="198" t="s">
        <v>1073</v>
      </c>
    </row>
    <row r="114" spans="1:103" ht="14.25">
      <c r="A114" s="142" t="s">
        <v>1073</v>
      </c>
      <c r="B114" s="143" t="s">
        <v>55</v>
      </c>
      <c r="C114" s="143" t="s">
        <v>55</v>
      </c>
      <c r="D114" s="143" t="s">
        <v>55</v>
      </c>
      <c r="E114" s="143" t="s">
        <v>55</v>
      </c>
      <c r="F114" s="143" t="s">
        <v>55</v>
      </c>
      <c r="G114" s="143" t="s">
        <v>55</v>
      </c>
      <c r="H114" s="143" t="s">
        <v>55</v>
      </c>
      <c r="I114" s="143" t="s">
        <v>55</v>
      </c>
      <c r="J114" s="143" t="s">
        <v>55</v>
      </c>
      <c r="K114" s="143" t="s">
        <v>55</v>
      </c>
      <c r="L114" s="143" t="s">
        <v>55</v>
      </c>
      <c r="M114" s="143" t="s">
        <v>55</v>
      </c>
      <c r="N114" s="143" t="s">
        <v>55</v>
      </c>
      <c r="O114" s="143" t="s">
        <v>55</v>
      </c>
      <c r="P114" s="143" t="s">
        <v>55</v>
      </c>
      <c r="Q114" s="143" t="s">
        <v>55</v>
      </c>
      <c r="R114" s="143" t="s">
        <v>55</v>
      </c>
      <c r="S114" s="143" t="s">
        <v>55</v>
      </c>
      <c r="T114" s="143" t="s">
        <v>55</v>
      </c>
      <c r="U114" s="143" t="s">
        <v>55</v>
      </c>
      <c r="V114" s="143" t="s">
        <v>55</v>
      </c>
      <c r="W114" s="143" t="s">
        <v>55</v>
      </c>
      <c r="X114" s="143" t="s">
        <v>55</v>
      </c>
      <c r="Y114" s="143" t="s">
        <v>55</v>
      </c>
      <c r="Z114" s="143" t="s">
        <v>55</v>
      </c>
      <c r="AA114" s="143" t="s">
        <v>55</v>
      </c>
      <c r="AB114" s="143" t="s">
        <v>55</v>
      </c>
      <c r="AC114" s="143" t="s">
        <v>55</v>
      </c>
      <c r="AD114" s="143" t="s">
        <v>55</v>
      </c>
      <c r="AE114" s="143" t="s">
        <v>55</v>
      </c>
      <c r="AF114" s="143" t="s">
        <v>55</v>
      </c>
      <c r="AG114" s="143" t="s">
        <v>55</v>
      </c>
      <c r="AH114" s="143" t="s">
        <v>55</v>
      </c>
      <c r="AI114" s="143" t="s">
        <v>55</v>
      </c>
      <c r="AJ114" s="143" t="s">
        <v>55</v>
      </c>
      <c r="AK114" s="143" t="s">
        <v>55</v>
      </c>
      <c r="AL114" s="143" t="s">
        <v>55</v>
      </c>
      <c r="AM114" s="143" t="s">
        <v>55</v>
      </c>
      <c r="AN114" s="143" t="s">
        <v>55</v>
      </c>
      <c r="AO114" s="143" t="s">
        <v>55</v>
      </c>
      <c r="AP114" s="143" t="s">
        <v>55</v>
      </c>
      <c r="AQ114" s="143" t="s">
        <v>55</v>
      </c>
      <c r="AR114" s="143" t="s">
        <v>55</v>
      </c>
      <c r="AS114" s="143" t="s">
        <v>55</v>
      </c>
      <c r="AT114" s="143" t="s">
        <v>55</v>
      </c>
      <c r="AU114" s="143" t="s">
        <v>55</v>
      </c>
      <c r="AV114" s="143" t="s">
        <v>55</v>
      </c>
      <c r="AW114" s="143" t="s">
        <v>55</v>
      </c>
      <c r="AX114" s="143" t="s">
        <v>55</v>
      </c>
      <c r="AY114" s="143" t="s">
        <v>55</v>
      </c>
      <c r="AZ114" s="143" t="s">
        <v>55</v>
      </c>
      <c r="BA114" s="143" t="s">
        <v>55</v>
      </c>
      <c r="BB114" s="143" t="s">
        <v>55</v>
      </c>
      <c r="BC114" s="143" t="s">
        <v>55</v>
      </c>
      <c r="BD114" s="143" t="s">
        <v>55</v>
      </c>
      <c r="BE114" s="143" t="s">
        <v>55</v>
      </c>
      <c r="BF114" s="143" t="s">
        <v>55</v>
      </c>
      <c r="BG114" s="143" t="s">
        <v>55</v>
      </c>
      <c r="BH114" s="143" t="s">
        <v>55</v>
      </c>
      <c r="BI114" s="143" t="s">
        <v>55</v>
      </c>
      <c r="BJ114" s="143" t="s">
        <v>55</v>
      </c>
      <c r="BK114" s="143" t="s">
        <v>55</v>
      </c>
      <c r="BL114" s="143" t="s">
        <v>55</v>
      </c>
      <c r="BM114" s="143" t="s">
        <v>55</v>
      </c>
      <c r="BN114" s="143" t="s">
        <v>55</v>
      </c>
      <c r="BO114" s="164" t="str">
        <f>IF(AND(Configurator!$E$5&lt;7,Configurator!$D$5&lt;8),"Chinese (English)","Chinese (English) not available with 84TE or detachable HMI")</f>
        <v>Chinese (English)</v>
      </c>
      <c r="BP114" s="143" t="s">
        <v>55</v>
      </c>
      <c r="BQ114" s="164" t="str">
        <f>IF(AND(Configurator!$E$5&lt;7,Configurator!$D$5&lt;8),"Chinese (English)","Chinese (English) not available with 84TE or detachable HMI")</f>
        <v>Chinese (English)</v>
      </c>
      <c r="BR114" s="143" t="s">
        <v>55</v>
      </c>
      <c r="BS114" s="164" t="str">
        <f>IF(AND(Configurator!$E$5&lt;7,Configurator!$D$5&lt;8),"Chinese (English)","Chinese (English) not available with 84TE or detachable HMI")</f>
        <v>Chinese (English)</v>
      </c>
      <c r="BT114" s="164" t="str">
        <f>IF(AND(Configurator!$E$5&lt;7,Configurator!$D$5&lt;8),"Chinese (English)","Chinese (English) not available with 84TE or detachable HMI")</f>
        <v>Chinese (English)</v>
      </c>
      <c r="BU114" s="143" t="s">
        <v>55</v>
      </c>
      <c r="BV114" s="164" t="str">
        <f>IF(AND(Configurator!$E$5&lt;7,Configurator!$D$5&lt;8),"Chinese (English)","Chinese (English) not available with 84TE or detachable HMI")</f>
        <v>Chinese (English)</v>
      </c>
      <c r="BW114" s="143" t="s">
        <v>55</v>
      </c>
      <c r="BX114" s="164" t="str">
        <f>IF(AND(Configurator!$E$5&lt;7,Configurator!$D$5&lt;8),"Chinese (English)","Chinese (English) not available with 84TE or detachable HMI")</f>
        <v>Chinese (English)</v>
      </c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29" t="s">
        <v>1073</v>
      </c>
      <c r="CJ114" s="129" t="s">
        <v>1073</v>
      </c>
      <c r="CK114" s="129" t="s">
        <v>1073</v>
      </c>
      <c r="CL114" s="129" t="s">
        <v>1073</v>
      </c>
      <c r="CM114" s="129" t="s">
        <v>1073</v>
      </c>
      <c r="CN114" s="129" t="s">
        <v>1073</v>
      </c>
      <c r="CO114" s="129" t="s">
        <v>1073</v>
      </c>
      <c r="CP114" s="129" t="s">
        <v>1073</v>
      </c>
      <c r="CQ114" s="129" t="s">
        <v>1073</v>
      </c>
      <c r="CR114" s="129" t="s">
        <v>1073</v>
      </c>
      <c r="CS114" s="129" t="s">
        <v>1073</v>
      </c>
      <c r="CT114" s="129" t="s">
        <v>1073</v>
      </c>
      <c r="CU114" s="129" t="s">
        <v>1073</v>
      </c>
      <c r="CV114" s="129" t="s">
        <v>1073</v>
      </c>
      <c r="CW114" s="129" t="s">
        <v>1073</v>
      </c>
      <c r="CX114" s="129" t="s">
        <v>1073</v>
      </c>
      <c r="CY114" s="129" t="s">
        <v>1073</v>
      </c>
    </row>
    <row r="115" spans="1:103" ht="14.25">
      <c r="A115" s="142" t="s">
        <v>1073</v>
      </c>
      <c r="B115" s="144" t="s">
        <v>15</v>
      </c>
      <c r="C115" s="144" t="s">
        <v>15</v>
      </c>
      <c r="D115" s="144" t="s">
        <v>15</v>
      </c>
      <c r="E115" s="144" t="s">
        <v>15</v>
      </c>
      <c r="F115" s="144" t="s">
        <v>15</v>
      </c>
      <c r="G115" s="144" t="s">
        <v>15</v>
      </c>
      <c r="H115" s="144" t="s">
        <v>15</v>
      </c>
      <c r="I115" s="144" t="s">
        <v>15</v>
      </c>
      <c r="J115" s="144" t="s">
        <v>15</v>
      </c>
      <c r="K115" s="144" t="s">
        <v>15</v>
      </c>
      <c r="L115" s="144" t="s">
        <v>15</v>
      </c>
      <c r="M115" s="144" t="s">
        <v>15</v>
      </c>
      <c r="N115" s="144" t="s">
        <v>15</v>
      </c>
      <c r="O115" s="144" t="s">
        <v>15</v>
      </c>
      <c r="P115" s="144" t="s">
        <v>15</v>
      </c>
      <c r="Q115" s="144" t="s">
        <v>15</v>
      </c>
      <c r="R115" s="144" t="s">
        <v>15</v>
      </c>
      <c r="S115" s="144" t="s">
        <v>15</v>
      </c>
      <c r="T115" s="144" t="s">
        <v>15</v>
      </c>
      <c r="U115" s="144" t="s">
        <v>15</v>
      </c>
      <c r="V115" s="144" t="s">
        <v>15</v>
      </c>
      <c r="W115" s="144" t="s">
        <v>15</v>
      </c>
      <c r="X115" s="144" t="s">
        <v>15</v>
      </c>
      <c r="Y115" s="144" t="s">
        <v>15</v>
      </c>
      <c r="Z115" s="144" t="s">
        <v>15</v>
      </c>
      <c r="AA115" s="144" t="s">
        <v>15</v>
      </c>
      <c r="AB115" s="144" t="s">
        <v>15</v>
      </c>
      <c r="AC115" s="144" t="s">
        <v>15</v>
      </c>
      <c r="AD115" s="144" t="s">
        <v>15</v>
      </c>
      <c r="AE115" s="144" t="s">
        <v>15</v>
      </c>
      <c r="AF115" s="144" t="s">
        <v>15</v>
      </c>
      <c r="AG115" s="144" t="s">
        <v>15</v>
      </c>
      <c r="AH115" s="144" t="s">
        <v>15</v>
      </c>
      <c r="AI115" s="144" t="s">
        <v>15</v>
      </c>
      <c r="AJ115" s="144" t="s">
        <v>15</v>
      </c>
      <c r="AK115" s="144" t="s">
        <v>15</v>
      </c>
      <c r="AL115" s="144" t="s">
        <v>15</v>
      </c>
      <c r="AM115" s="144" t="s">
        <v>15</v>
      </c>
      <c r="AN115" s="144" t="s">
        <v>15</v>
      </c>
      <c r="AO115" s="144" t="s">
        <v>15</v>
      </c>
      <c r="AP115" s="144" t="s">
        <v>15</v>
      </c>
      <c r="AQ115" s="144" t="s">
        <v>15</v>
      </c>
      <c r="AR115" s="144" t="s">
        <v>15</v>
      </c>
      <c r="AS115" s="144" t="s">
        <v>15</v>
      </c>
      <c r="AT115" s="144" t="s">
        <v>15</v>
      </c>
      <c r="AU115" s="144" t="s">
        <v>15</v>
      </c>
      <c r="AV115" s="144" t="s">
        <v>15</v>
      </c>
      <c r="AW115" s="144" t="s">
        <v>15</v>
      </c>
      <c r="AX115" s="144" t="s">
        <v>15</v>
      </c>
      <c r="AY115" s="144" t="s">
        <v>15</v>
      </c>
      <c r="AZ115" s="144" t="s">
        <v>15</v>
      </c>
      <c r="BA115" s="144" t="s">
        <v>15</v>
      </c>
      <c r="BB115" s="144" t="s">
        <v>15</v>
      </c>
      <c r="BC115" s="144" t="s">
        <v>15</v>
      </c>
      <c r="BD115" s="144" t="s">
        <v>15</v>
      </c>
      <c r="BE115" s="144" t="s">
        <v>15</v>
      </c>
      <c r="BF115" s="144" t="s">
        <v>15</v>
      </c>
      <c r="BG115" s="144" t="s">
        <v>15</v>
      </c>
      <c r="BH115" s="144" t="s">
        <v>15</v>
      </c>
      <c r="BI115" s="144" t="s">
        <v>15</v>
      </c>
      <c r="BJ115" s="144" t="s">
        <v>15</v>
      </c>
      <c r="BK115" s="144" t="s">
        <v>15</v>
      </c>
      <c r="BL115" s="144" t="s">
        <v>15</v>
      </c>
      <c r="BM115" s="144" t="s">
        <v>15</v>
      </c>
      <c r="BN115" s="144" t="s">
        <v>15</v>
      </c>
      <c r="BO115" s="144" t="s">
        <v>15</v>
      </c>
      <c r="BP115" s="144" t="s">
        <v>15</v>
      </c>
      <c r="BQ115" s="144" t="s">
        <v>15</v>
      </c>
      <c r="BR115" s="144" t="s">
        <v>15</v>
      </c>
      <c r="BS115" s="144" t="s">
        <v>15</v>
      </c>
      <c r="BT115" s="144" t="s">
        <v>15</v>
      </c>
      <c r="BU115" s="144" t="s">
        <v>15</v>
      </c>
      <c r="BV115" s="144" t="s">
        <v>15</v>
      </c>
      <c r="BW115" s="144" t="s">
        <v>15</v>
      </c>
      <c r="BX115" s="144" t="s">
        <v>15</v>
      </c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129" t="s">
        <v>1073</v>
      </c>
      <c r="CJ115" s="129" t="s">
        <v>1073</v>
      </c>
      <c r="CK115" s="129" t="s">
        <v>1073</v>
      </c>
      <c r="CL115" s="129" t="s">
        <v>1073</v>
      </c>
      <c r="CM115" s="129" t="s">
        <v>1073</v>
      </c>
      <c r="CN115" s="129" t="s">
        <v>1073</v>
      </c>
      <c r="CO115" s="129" t="s">
        <v>1073</v>
      </c>
      <c r="CP115" s="129" t="s">
        <v>1073</v>
      </c>
      <c r="CQ115" s="129" t="s">
        <v>1073</v>
      </c>
      <c r="CR115" s="129" t="s">
        <v>1073</v>
      </c>
      <c r="CS115" s="129" t="s">
        <v>1073</v>
      </c>
      <c r="CT115" s="129" t="s">
        <v>1073</v>
      </c>
      <c r="CU115" s="129" t="s">
        <v>1073</v>
      </c>
      <c r="CV115" s="129" t="s">
        <v>1073</v>
      </c>
      <c r="CW115" s="129" t="s">
        <v>1073</v>
      </c>
      <c r="CX115" s="129" t="s">
        <v>1073</v>
      </c>
      <c r="CY115" s="129" t="s">
        <v>1073</v>
      </c>
    </row>
    <row r="116" spans="1:103" ht="14.25">
      <c r="A116" s="142" t="s">
        <v>1073</v>
      </c>
      <c r="B116" s="136" t="s">
        <v>1215</v>
      </c>
      <c r="C116" s="136" t="s">
        <v>1215</v>
      </c>
      <c r="D116" s="136" t="s">
        <v>1215</v>
      </c>
      <c r="E116" s="136" t="s">
        <v>1215</v>
      </c>
      <c r="F116" s="136" t="s">
        <v>1215</v>
      </c>
      <c r="G116" s="136" t="s">
        <v>1215</v>
      </c>
      <c r="H116" s="136" t="s">
        <v>1215</v>
      </c>
      <c r="I116" s="136" t="s">
        <v>1215</v>
      </c>
      <c r="J116" s="136" t="s">
        <v>1215</v>
      </c>
      <c r="K116" s="136" t="s">
        <v>1215</v>
      </c>
      <c r="L116" s="136" t="s">
        <v>1215</v>
      </c>
      <c r="M116" s="136" t="s">
        <v>1215</v>
      </c>
      <c r="N116" s="136" t="s">
        <v>1215</v>
      </c>
      <c r="O116" s="136" t="s">
        <v>1215</v>
      </c>
      <c r="P116" s="136" t="s">
        <v>1215</v>
      </c>
      <c r="Q116" s="136" t="s">
        <v>1215</v>
      </c>
      <c r="R116" s="136" t="s">
        <v>1215</v>
      </c>
      <c r="S116" s="136" t="s">
        <v>1215</v>
      </c>
      <c r="T116" s="136" t="s">
        <v>1215</v>
      </c>
      <c r="U116" s="136" t="s">
        <v>1215</v>
      </c>
      <c r="V116" s="136" t="s">
        <v>1215</v>
      </c>
      <c r="W116" s="136" t="s">
        <v>1215</v>
      </c>
      <c r="X116" s="136" t="s">
        <v>1215</v>
      </c>
      <c r="Y116" s="136" t="s">
        <v>1215</v>
      </c>
      <c r="Z116" s="136" t="s">
        <v>1215</v>
      </c>
      <c r="AA116" s="136" t="s">
        <v>1215</v>
      </c>
      <c r="AB116" s="136" t="s">
        <v>1215</v>
      </c>
      <c r="AC116" s="136" t="s">
        <v>1215</v>
      </c>
      <c r="AD116" s="136" t="s">
        <v>1215</v>
      </c>
      <c r="AE116" s="136" t="s">
        <v>1215</v>
      </c>
      <c r="AF116" s="136" t="s">
        <v>1215</v>
      </c>
      <c r="AG116" s="136" t="s">
        <v>1215</v>
      </c>
      <c r="AH116" s="136" t="s">
        <v>1215</v>
      </c>
      <c r="AI116" s="136" t="s">
        <v>1215</v>
      </c>
      <c r="AJ116" s="136" t="s">
        <v>1215</v>
      </c>
      <c r="AK116" s="136" t="s">
        <v>1215</v>
      </c>
      <c r="AL116" s="136" t="s">
        <v>1215</v>
      </c>
      <c r="AM116" s="136" t="s">
        <v>1215</v>
      </c>
      <c r="AN116" s="136" t="s">
        <v>1215</v>
      </c>
      <c r="AO116" s="136" t="s">
        <v>1215</v>
      </c>
      <c r="AP116" s="136" t="s">
        <v>1215</v>
      </c>
      <c r="AQ116" s="136" t="s">
        <v>1215</v>
      </c>
      <c r="AR116" s="136" t="s">
        <v>1215</v>
      </c>
      <c r="AS116" s="136" t="s">
        <v>1215</v>
      </c>
      <c r="AT116" s="136" t="s">
        <v>1215</v>
      </c>
      <c r="AU116" s="136" t="s">
        <v>1215</v>
      </c>
      <c r="AV116" s="136" t="s">
        <v>1215</v>
      </c>
      <c r="AW116" s="136" t="s">
        <v>1215</v>
      </c>
      <c r="AX116" s="136" t="s">
        <v>1215</v>
      </c>
      <c r="AY116" s="136" t="s">
        <v>1215</v>
      </c>
      <c r="AZ116" s="136" t="s">
        <v>1215</v>
      </c>
      <c r="BA116" s="136" t="s">
        <v>1215</v>
      </c>
      <c r="BB116" s="136" t="s">
        <v>1215</v>
      </c>
      <c r="BC116" s="136" t="s">
        <v>1215</v>
      </c>
      <c r="BD116" s="136" t="s">
        <v>1215</v>
      </c>
      <c r="BE116" s="136" t="s">
        <v>1215</v>
      </c>
      <c r="BF116" s="136" t="s">
        <v>1215</v>
      </c>
      <c r="BG116" s="136" t="s">
        <v>1215</v>
      </c>
      <c r="BH116" s="136" t="s">
        <v>1215</v>
      </c>
      <c r="BI116" s="136" t="s">
        <v>1215</v>
      </c>
      <c r="BJ116" s="136" t="s">
        <v>1215</v>
      </c>
      <c r="BK116" s="136" t="s">
        <v>1215</v>
      </c>
      <c r="BL116" s="136" t="s">
        <v>1215</v>
      </c>
      <c r="BM116" s="136" t="s">
        <v>1215</v>
      </c>
      <c r="BN116" s="136" t="s">
        <v>1215</v>
      </c>
      <c r="BO116" s="136" t="s">
        <v>1215</v>
      </c>
      <c r="BP116" s="136" t="s">
        <v>1215</v>
      </c>
      <c r="BQ116" s="136" t="s">
        <v>1215</v>
      </c>
      <c r="BR116" s="136" t="s">
        <v>1215</v>
      </c>
      <c r="BS116" s="136" t="s">
        <v>1215</v>
      </c>
      <c r="BT116" s="136" t="s">
        <v>1215</v>
      </c>
      <c r="BU116" s="136" t="s">
        <v>1215</v>
      </c>
      <c r="BV116" s="136" t="s">
        <v>1215</v>
      </c>
      <c r="BW116" s="136" t="s">
        <v>1215</v>
      </c>
      <c r="BX116" s="136" t="s">
        <v>1215</v>
      </c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129" t="s">
        <v>1073</v>
      </c>
      <c r="CJ116" s="129" t="s">
        <v>1073</v>
      </c>
      <c r="CK116" s="129" t="s">
        <v>1073</v>
      </c>
      <c r="CL116" s="129" t="s">
        <v>1073</v>
      </c>
      <c r="CM116" s="129" t="s">
        <v>1073</v>
      </c>
      <c r="CN116" s="129" t="s">
        <v>1073</v>
      </c>
      <c r="CO116" s="129" t="s">
        <v>1073</v>
      </c>
      <c r="CP116" s="129" t="s">
        <v>1073</v>
      </c>
      <c r="CQ116" s="129" t="s">
        <v>1073</v>
      </c>
      <c r="CR116" s="129" t="s">
        <v>1073</v>
      </c>
      <c r="CS116" s="129" t="s">
        <v>1073</v>
      </c>
      <c r="CT116" s="129" t="s">
        <v>1073</v>
      </c>
      <c r="CU116" s="129" t="s">
        <v>1073</v>
      </c>
      <c r="CV116" s="129" t="s">
        <v>1073</v>
      </c>
      <c r="CW116" s="129" t="s">
        <v>1073</v>
      </c>
      <c r="CX116" s="129" t="s">
        <v>1073</v>
      </c>
      <c r="CY116" s="129" t="s">
        <v>1073</v>
      </c>
    </row>
    <row r="117" spans="1:103" ht="14.25">
      <c r="A117" s="142" t="s">
        <v>1073</v>
      </c>
      <c r="B117" s="136" t="s">
        <v>1215</v>
      </c>
      <c r="C117" s="136" t="s">
        <v>1</v>
      </c>
      <c r="D117" s="136" t="s">
        <v>1</v>
      </c>
      <c r="E117" s="136" t="s">
        <v>1</v>
      </c>
      <c r="F117" s="136" t="s">
        <v>1</v>
      </c>
      <c r="G117" s="136" t="s">
        <v>1</v>
      </c>
      <c r="H117" s="136" t="s">
        <v>1</v>
      </c>
      <c r="I117" s="136" t="s">
        <v>1</v>
      </c>
      <c r="J117" s="136" t="s">
        <v>1</v>
      </c>
      <c r="K117" s="136" t="s">
        <v>1</v>
      </c>
      <c r="L117" s="136" t="s">
        <v>1</v>
      </c>
      <c r="M117" s="136" t="s">
        <v>1</v>
      </c>
      <c r="N117" s="136" t="s">
        <v>1</v>
      </c>
      <c r="O117" s="136" t="s">
        <v>1</v>
      </c>
      <c r="P117" s="136" t="s">
        <v>1</v>
      </c>
      <c r="Q117" s="136" t="s">
        <v>1</v>
      </c>
      <c r="R117" s="136" t="s">
        <v>1</v>
      </c>
      <c r="S117" s="136" t="s">
        <v>1</v>
      </c>
      <c r="T117" s="136" t="s">
        <v>1</v>
      </c>
      <c r="U117" s="136" t="s">
        <v>1</v>
      </c>
      <c r="V117" s="136" t="s">
        <v>1</v>
      </c>
      <c r="W117" s="136" t="s">
        <v>1</v>
      </c>
      <c r="X117" s="136" t="s">
        <v>1</v>
      </c>
      <c r="Y117" s="136" t="s">
        <v>1</v>
      </c>
      <c r="Z117" s="136" t="s">
        <v>1</v>
      </c>
      <c r="AA117" s="136" t="s">
        <v>1</v>
      </c>
      <c r="AB117" s="136" t="s">
        <v>1</v>
      </c>
      <c r="AC117" s="136" t="s">
        <v>1</v>
      </c>
      <c r="AD117" s="136" t="s">
        <v>1</v>
      </c>
      <c r="AE117" s="136" t="s">
        <v>1</v>
      </c>
      <c r="AF117" s="136" t="s">
        <v>1</v>
      </c>
      <c r="AG117" s="136" t="s">
        <v>1</v>
      </c>
      <c r="AH117" s="136" t="s">
        <v>1</v>
      </c>
      <c r="AI117" s="136" t="s">
        <v>1</v>
      </c>
      <c r="AJ117" s="136" t="s">
        <v>1</v>
      </c>
      <c r="AK117" s="136" t="s">
        <v>1</v>
      </c>
      <c r="AL117" s="136" t="s">
        <v>1</v>
      </c>
      <c r="AM117" s="136" t="s">
        <v>1</v>
      </c>
      <c r="AN117" s="136" t="s">
        <v>1</v>
      </c>
      <c r="AO117" s="136" t="s">
        <v>1</v>
      </c>
      <c r="AP117" s="136" t="s">
        <v>1</v>
      </c>
      <c r="AQ117" s="136" t="s">
        <v>1</v>
      </c>
      <c r="AR117" s="136" t="s">
        <v>1</v>
      </c>
      <c r="AS117" s="136" t="s">
        <v>1</v>
      </c>
      <c r="AT117" s="136" t="s">
        <v>1</v>
      </c>
      <c r="AU117" s="136" t="s">
        <v>1</v>
      </c>
      <c r="AV117" s="136" t="s">
        <v>1</v>
      </c>
      <c r="AW117" s="136" t="s">
        <v>1</v>
      </c>
      <c r="AX117" s="136" t="s">
        <v>1</v>
      </c>
      <c r="AY117" s="136" t="s">
        <v>1</v>
      </c>
      <c r="AZ117" s="136" t="s">
        <v>1</v>
      </c>
      <c r="BA117" s="136" t="s">
        <v>1</v>
      </c>
      <c r="BB117" s="136" t="s">
        <v>1</v>
      </c>
      <c r="BC117" s="136" t="s">
        <v>1</v>
      </c>
      <c r="BD117" s="136" t="s">
        <v>1</v>
      </c>
      <c r="BE117" s="136" t="s">
        <v>1</v>
      </c>
      <c r="BF117" s="136" t="s">
        <v>1</v>
      </c>
      <c r="BG117" s="136" t="s">
        <v>1</v>
      </c>
      <c r="BH117" s="136" t="s">
        <v>1</v>
      </c>
      <c r="BI117" s="136" t="s">
        <v>1</v>
      </c>
      <c r="BJ117" s="136" t="s">
        <v>1</v>
      </c>
      <c r="BK117" s="136" t="s">
        <v>1</v>
      </c>
      <c r="BL117" s="136" t="s">
        <v>1</v>
      </c>
      <c r="BM117" s="136" t="s">
        <v>1</v>
      </c>
      <c r="BN117" s="136" t="s">
        <v>1</v>
      </c>
      <c r="BO117" s="136" t="s">
        <v>1</v>
      </c>
      <c r="BP117" s="136" t="s">
        <v>1</v>
      </c>
      <c r="BQ117" s="136" t="s">
        <v>1</v>
      </c>
      <c r="BR117" s="136" t="s">
        <v>1</v>
      </c>
      <c r="BS117" s="136" t="s">
        <v>1</v>
      </c>
      <c r="BT117" s="136" t="s">
        <v>1</v>
      </c>
      <c r="BU117" s="136" t="s">
        <v>1</v>
      </c>
      <c r="BV117" s="136" t="s">
        <v>1</v>
      </c>
      <c r="BW117" s="136" t="s">
        <v>1</v>
      </c>
      <c r="BX117" s="136" t="s">
        <v>1</v>
      </c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</row>
    <row r="118" spans="1:103" ht="14.25">
      <c r="A118" s="129"/>
      <c r="B118" s="136" t="s">
        <v>1215</v>
      </c>
      <c r="C118" s="136" t="s">
        <v>1215</v>
      </c>
      <c r="D118" s="136" t="s">
        <v>1215</v>
      </c>
      <c r="E118" s="136" t="s">
        <v>1215</v>
      </c>
      <c r="F118" s="136" t="s">
        <v>1215</v>
      </c>
      <c r="G118" s="136" t="s">
        <v>1215</v>
      </c>
      <c r="H118" s="136" t="s">
        <v>1215</v>
      </c>
      <c r="I118" s="136" t="s">
        <v>1215</v>
      </c>
      <c r="J118" s="136" t="s">
        <v>1215</v>
      </c>
      <c r="K118" s="136" t="s">
        <v>1215</v>
      </c>
      <c r="L118" s="136" t="s">
        <v>1215</v>
      </c>
      <c r="M118" s="136" t="s">
        <v>1215</v>
      </c>
      <c r="N118" s="136" t="s">
        <v>1238</v>
      </c>
      <c r="O118" s="136" t="s">
        <v>1238</v>
      </c>
      <c r="P118" s="136" t="s">
        <v>1238</v>
      </c>
      <c r="Q118" s="136" t="s">
        <v>1238</v>
      </c>
      <c r="R118" s="136" t="s">
        <v>1238</v>
      </c>
      <c r="S118" s="136" t="s">
        <v>1238</v>
      </c>
      <c r="T118" s="136" t="s">
        <v>1238</v>
      </c>
      <c r="U118" s="136" t="s">
        <v>1238</v>
      </c>
      <c r="V118" s="136" t="s">
        <v>1238</v>
      </c>
      <c r="W118" s="136" t="s">
        <v>1238</v>
      </c>
      <c r="X118" s="136" t="s">
        <v>1238</v>
      </c>
      <c r="Y118" s="136" t="s">
        <v>1238</v>
      </c>
      <c r="Z118" s="136" t="s">
        <v>1238</v>
      </c>
      <c r="AA118" s="136" t="s">
        <v>1238</v>
      </c>
      <c r="AB118" s="136" t="s">
        <v>1238</v>
      </c>
      <c r="AC118" s="136" t="s">
        <v>1238</v>
      </c>
      <c r="AD118" s="136" t="s">
        <v>1238</v>
      </c>
      <c r="AE118" s="136" t="s">
        <v>1238</v>
      </c>
      <c r="AF118" s="136" t="s">
        <v>1238</v>
      </c>
      <c r="AG118" s="136" t="s">
        <v>1215</v>
      </c>
      <c r="AH118" s="136" t="s">
        <v>1238</v>
      </c>
      <c r="AI118" s="136" t="s">
        <v>1238</v>
      </c>
      <c r="AJ118" s="136" t="s">
        <v>1238</v>
      </c>
      <c r="AK118" s="136" t="s">
        <v>1238</v>
      </c>
      <c r="AL118" s="136" t="s">
        <v>1238</v>
      </c>
      <c r="AM118" s="136" t="s">
        <v>1238</v>
      </c>
      <c r="AN118" s="136" t="s">
        <v>1238</v>
      </c>
      <c r="AO118" s="136" t="s">
        <v>1238</v>
      </c>
      <c r="AP118" s="136" t="s">
        <v>1238</v>
      </c>
      <c r="AQ118" s="136" t="s">
        <v>1238</v>
      </c>
      <c r="AR118" s="136" t="s">
        <v>1238</v>
      </c>
      <c r="AS118" s="136" t="s">
        <v>1238</v>
      </c>
      <c r="AT118" s="136" t="s">
        <v>1238</v>
      </c>
      <c r="AU118" s="136" t="s">
        <v>1238</v>
      </c>
      <c r="AV118" s="136" t="s">
        <v>1238</v>
      </c>
      <c r="AW118" s="136" t="s">
        <v>1238</v>
      </c>
      <c r="AX118" s="136" t="s">
        <v>1238</v>
      </c>
      <c r="AY118" s="136" t="s">
        <v>1238</v>
      </c>
      <c r="AZ118" s="136" t="s">
        <v>1238</v>
      </c>
      <c r="BA118" s="136" t="s">
        <v>1238</v>
      </c>
      <c r="BB118" s="136" t="s">
        <v>1238</v>
      </c>
      <c r="BC118" s="136" t="s">
        <v>1238</v>
      </c>
      <c r="BD118" s="136" t="s">
        <v>1238</v>
      </c>
      <c r="BE118" s="136" t="s">
        <v>1238</v>
      </c>
      <c r="BF118" s="136" t="s">
        <v>1238</v>
      </c>
      <c r="BG118" s="136" t="s">
        <v>1238</v>
      </c>
      <c r="BH118" s="136" t="s">
        <v>1238</v>
      </c>
      <c r="BI118" s="136" t="s">
        <v>1238</v>
      </c>
      <c r="BJ118" s="136" t="s">
        <v>1238</v>
      </c>
      <c r="BK118" s="136" t="s">
        <v>1238</v>
      </c>
      <c r="BL118" s="136" t="s">
        <v>1238</v>
      </c>
      <c r="BM118" s="136" t="s">
        <v>1238</v>
      </c>
      <c r="BN118" s="136" t="s">
        <v>1238</v>
      </c>
      <c r="BO118" s="136" t="s">
        <v>1238</v>
      </c>
      <c r="BP118" s="136" t="s">
        <v>1238</v>
      </c>
      <c r="BQ118" s="136" t="s">
        <v>1238</v>
      </c>
      <c r="BR118" s="136" t="s">
        <v>1238</v>
      </c>
      <c r="BS118" s="136" t="s">
        <v>1238</v>
      </c>
      <c r="BT118" s="136" t="s">
        <v>1238</v>
      </c>
      <c r="BU118" s="136" t="s">
        <v>1238</v>
      </c>
      <c r="BV118" s="136" t="s">
        <v>1238</v>
      </c>
      <c r="BW118" s="136" t="s">
        <v>1238</v>
      </c>
      <c r="BX118" s="136" t="s">
        <v>1238</v>
      </c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</row>
    <row r="119" spans="1:103" ht="14.25">
      <c r="A119" s="129"/>
      <c r="B119" s="136" t="s">
        <v>1215</v>
      </c>
      <c r="C119" s="136" t="s">
        <v>1215</v>
      </c>
      <c r="D119" s="136" t="s">
        <v>1215</v>
      </c>
      <c r="E119" s="136" t="s">
        <v>1215</v>
      </c>
      <c r="F119" s="136" t="s">
        <v>1215</v>
      </c>
      <c r="G119" s="136" t="s">
        <v>1215</v>
      </c>
      <c r="H119" s="136" t="s">
        <v>1215</v>
      </c>
      <c r="I119" s="136" t="s">
        <v>1215</v>
      </c>
      <c r="J119" s="136" t="s">
        <v>1215</v>
      </c>
      <c r="K119" s="136" t="s">
        <v>1215</v>
      </c>
      <c r="L119" s="136" t="s">
        <v>1215</v>
      </c>
      <c r="M119" s="136" t="s">
        <v>1215</v>
      </c>
      <c r="N119" s="136" t="s">
        <v>1215</v>
      </c>
      <c r="O119" s="136" t="s">
        <v>1215</v>
      </c>
      <c r="P119" s="136" t="s">
        <v>2</v>
      </c>
      <c r="Q119" s="136" t="s">
        <v>2</v>
      </c>
      <c r="R119" s="136" t="s">
        <v>2</v>
      </c>
      <c r="S119" s="136" t="s">
        <v>2</v>
      </c>
      <c r="T119" s="136" t="s">
        <v>2</v>
      </c>
      <c r="U119" s="136" t="s">
        <v>2</v>
      </c>
      <c r="V119" s="136" t="s">
        <v>2</v>
      </c>
      <c r="W119" s="136" t="s">
        <v>2</v>
      </c>
      <c r="X119" s="136" t="s">
        <v>2</v>
      </c>
      <c r="Y119" s="136" t="s">
        <v>2</v>
      </c>
      <c r="Z119" s="136" t="s">
        <v>2</v>
      </c>
      <c r="AA119" s="136" t="s">
        <v>2</v>
      </c>
      <c r="AB119" s="136" t="s">
        <v>2</v>
      </c>
      <c r="AC119" s="136" t="s">
        <v>2</v>
      </c>
      <c r="AD119" s="136" t="s">
        <v>2</v>
      </c>
      <c r="AE119" s="136" t="s">
        <v>2</v>
      </c>
      <c r="AF119" s="136" t="s">
        <v>2</v>
      </c>
      <c r="AG119" s="136" t="s">
        <v>1215</v>
      </c>
      <c r="AH119" s="136" t="s">
        <v>2</v>
      </c>
      <c r="AI119" s="136" t="s">
        <v>2</v>
      </c>
      <c r="AJ119" s="136" t="s">
        <v>2</v>
      </c>
      <c r="AK119" s="136" t="s">
        <v>2</v>
      </c>
      <c r="AL119" s="136" t="s">
        <v>2</v>
      </c>
      <c r="AM119" s="136" t="s">
        <v>2</v>
      </c>
      <c r="AN119" s="136" t="s">
        <v>2</v>
      </c>
      <c r="AO119" s="136" t="s">
        <v>2</v>
      </c>
      <c r="AP119" s="136" t="s">
        <v>2</v>
      </c>
      <c r="AQ119" s="136" t="s">
        <v>2</v>
      </c>
      <c r="AR119" s="136" t="s">
        <v>2</v>
      </c>
      <c r="AS119" s="136" t="s">
        <v>2</v>
      </c>
      <c r="AT119" s="136" t="s">
        <v>2</v>
      </c>
      <c r="AU119" s="136" t="s">
        <v>2</v>
      </c>
      <c r="AV119" s="136" t="s">
        <v>2</v>
      </c>
      <c r="AW119" s="136" t="s">
        <v>2</v>
      </c>
      <c r="AX119" s="136" t="s">
        <v>2</v>
      </c>
      <c r="AY119" s="136" t="s">
        <v>2</v>
      </c>
      <c r="AZ119" s="136" t="s">
        <v>2</v>
      </c>
      <c r="BA119" s="136" t="s">
        <v>2</v>
      </c>
      <c r="BB119" s="136" t="s">
        <v>2</v>
      </c>
      <c r="BC119" s="136" t="s">
        <v>2</v>
      </c>
      <c r="BD119" s="136" t="s">
        <v>2</v>
      </c>
      <c r="BE119" s="136" t="s">
        <v>2</v>
      </c>
      <c r="BF119" s="136" t="s">
        <v>2</v>
      </c>
      <c r="BG119" s="136" t="s">
        <v>2</v>
      </c>
      <c r="BH119" s="136" t="s">
        <v>2</v>
      </c>
      <c r="BI119" s="136" t="s">
        <v>2</v>
      </c>
      <c r="BJ119" s="136" t="s">
        <v>2</v>
      </c>
      <c r="BK119" s="136" t="s">
        <v>2</v>
      </c>
      <c r="BL119" s="136" t="s">
        <v>2</v>
      </c>
      <c r="BM119" s="136" t="s">
        <v>2</v>
      </c>
      <c r="BN119" s="136" t="s">
        <v>2</v>
      </c>
      <c r="BO119" s="136" t="s">
        <v>2</v>
      </c>
      <c r="BP119" s="136" t="s">
        <v>2</v>
      </c>
      <c r="BQ119" s="136" t="s">
        <v>2</v>
      </c>
      <c r="BR119" s="136" t="s">
        <v>2</v>
      </c>
      <c r="BS119" s="136" t="s">
        <v>2</v>
      </c>
      <c r="BT119" s="136" t="s">
        <v>2</v>
      </c>
      <c r="BU119" s="136" t="s">
        <v>2</v>
      </c>
      <c r="BV119" s="136" t="s">
        <v>2</v>
      </c>
      <c r="BW119" s="136" t="s">
        <v>2</v>
      </c>
      <c r="BX119" s="136" t="s">
        <v>2</v>
      </c>
      <c r="BY119" s="277"/>
      <c r="BZ119" s="277"/>
      <c r="CA119" s="277"/>
      <c r="CB119" s="277"/>
      <c r="CC119" s="277"/>
      <c r="CD119" s="277"/>
      <c r="CE119" s="277"/>
      <c r="CF119" s="277"/>
      <c r="CG119" s="277"/>
      <c r="CH119" s="277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</row>
    <row r="120" spans="1:103" ht="14.25">
      <c r="A120" s="129" t="s">
        <v>1073</v>
      </c>
      <c r="B120" s="136" t="s">
        <v>1215</v>
      </c>
      <c r="C120" s="136" t="s">
        <v>1215</v>
      </c>
      <c r="D120" s="136" t="s">
        <v>1215</v>
      </c>
      <c r="E120" s="136" t="s">
        <v>1215</v>
      </c>
      <c r="F120" s="136" t="s">
        <v>1215</v>
      </c>
      <c r="G120" s="136" t="s">
        <v>1215</v>
      </c>
      <c r="H120" s="136" t="s">
        <v>1215</v>
      </c>
      <c r="I120" s="136" t="s">
        <v>1215</v>
      </c>
      <c r="J120" s="136" t="s">
        <v>1215</v>
      </c>
      <c r="K120" s="136" t="s">
        <v>1215</v>
      </c>
      <c r="L120" s="136" t="s">
        <v>1215</v>
      </c>
      <c r="M120" s="136" t="s">
        <v>1215</v>
      </c>
      <c r="N120" s="136" t="s">
        <v>1215</v>
      </c>
      <c r="O120" s="136" t="s">
        <v>1215</v>
      </c>
      <c r="P120" s="136" t="s">
        <v>1215</v>
      </c>
      <c r="Q120" s="136" t="s">
        <v>1215</v>
      </c>
      <c r="R120" s="136" t="s">
        <v>1215</v>
      </c>
      <c r="S120" s="136" t="s">
        <v>1215</v>
      </c>
      <c r="T120" s="136" t="s">
        <v>1215</v>
      </c>
      <c r="U120" s="136" t="s">
        <v>1215</v>
      </c>
      <c r="V120" s="136" t="s">
        <v>1215</v>
      </c>
      <c r="W120" s="136" t="s">
        <v>1215</v>
      </c>
      <c r="X120" s="136" t="s">
        <v>1215</v>
      </c>
      <c r="Y120" s="136" t="s">
        <v>1215</v>
      </c>
      <c r="Z120" s="136" t="s">
        <v>1215</v>
      </c>
      <c r="AA120" s="136" t="s">
        <v>1215</v>
      </c>
      <c r="AB120" s="136" t="s">
        <v>1215</v>
      </c>
      <c r="AC120" s="136" t="s">
        <v>1215</v>
      </c>
      <c r="AD120" s="136" t="s">
        <v>1215</v>
      </c>
      <c r="AE120" s="136" t="s">
        <v>1215</v>
      </c>
      <c r="AF120" s="136" t="s">
        <v>1215</v>
      </c>
      <c r="AG120" s="136" t="s">
        <v>1215</v>
      </c>
      <c r="AH120" s="136" t="s">
        <v>1215</v>
      </c>
      <c r="AI120" s="136" t="s">
        <v>1215</v>
      </c>
      <c r="AJ120" s="136" t="s">
        <v>1215</v>
      </c>
      <c r="AK120" s="136" t="s">
        <v>1215</v>
      </c>
      <c r="AL120" s="136" t="s">
        <v>1215</v>
      </c>
      <c r="AM120" s="136" t="s">
        <v>1215</v>
      </c>
      <c r="AN120" s="136" t="s">
        <v>1215</v>
      </c>
      <c r="AO120" s="136" t="s">
        <v>1215</v>
      </c>
      <c r="AP120" s="136" t="s">
        <v>1215</v>
      </c>
      <c r="AQ120" s="136" t="s">
        <v>1215</v>
      </c>
      <c r="AR120" s="136" t="s">
        <v>1215</v>
      </c>
      <c r="AS120" s="136" t="s">
        <v>1215</v>
      </c>
      <c r="AT120" s="136" t="s">
        <v>1215</v>
      </c>
      <c r="AU120" s="136" t="s">
        <v>1215</v>
      </c>
      <c r="AV120" s="136" t="s">
        <v>1215</v>
      </c>
      <c r="AW120" s="136" t="s">
        <v>1215</v>
      </c>
      <c r="AX120" s="136" t="s">
        <v>1215</v>
      </c>
      <c r="AY120" s="136" t="s">
        <v>1215</v>
      </c>
      <c r="AZ120" s="136" t="s">
        <v>1215</v>
      </c>
      <c r="BA120" s="136" t="s">
        <v>1215</v>
      </c>
      <c r="BB120" s="136" t="s">
        <v>1215</v>
      </c>
      <c r="BC120" s="136" t="s">
        <v>1215</v>
      </c>
      <c r="BD120" s="136" t="s">
        <v>1215</v>
      </c>
      <c r="BE120" s="136" t="s">
        <v>1215</v>
      </c>
      <c r="BF120" s="136" t="s">
        <v>1215</v>
      </c>
      <c r="BG120" s="136" t="s">
        <v>1215</v>
      </c>
      <c r="BH120" s="136" t="s">
        <v>1215</v>
      </c>
      <c r="BI120" s="136" t="s">
        <v>1215</v>
      </c>
      <c r="BJ120" s="136" t="s">
        <v>1215</v>
      </c>
      <c r="BK120" s="136" t="s">
        <v>1215</v>
      </c>
      <c r="BL120" s="136" t="s">
        <v>884</v>
      </c>
      <c r="BM120" s="136" t="s">
        <v>884</v>
      </c>
      <c r="BN120" s="136" t="s">
        <v>884</v>
      </c>
      <c r="BO120" s="136" t="s">
        <v>884</v>
      </c>
      <c r="BP120" s="136" t="s">
        <v>1215</v>
      </c>
      <c r="BQ120" s="136" t="s">
        <v>884</v>
      </c>
      <c r="BR120" s="136" t="s">
        <v>884</v>
      </c>
      <c r="BS120" s="136" t="s">
        <v>884</v>
      </c>
      <c r="BT120" s="136" t="s">
        <v>884</v>
      </c>
      <c r="BU120" s="136" t="s">
        <v>1215</v>
      </c>
      <c r="BV120" s="136" t="s">
        <v>884</v>
      </c>
      <c r="BW120" s="136" t="s">
        <v>884</v>
      </c>
      <c r="BX120" s="136" t="s">
        <v>884</v>
      </c>
      <c r="BY120" s="277"/>
      <c r="BZ120" s="277"/>
      <c r="CA120" s="277"/>
      <c r="CB120" s="277"/>
      <c r="CC120" s="277"/>
      <c r="CD120" s="277"/>
      <c r="CE120" s="277"/>
      <c r="CF120" s="277"/>
      <c r="CG120" s="277"/>
      <c r="CH120" s="277"/>
      <c r="CI120" s="129" t="s">
        <v>1073</v>
      </c>
      <c r="CJ120" s="129" t="s">
        <v>1073</v>
      </c>
      <c r="CK120" s="129" t="s">
        <v>1073</v>
      </c>
      <c r="CL120" s="129" t="s">
        <v>1073</v>
      </c>
      <c r="CM120" s="129" t="s">
        <v>1073</v>
      </c>
      <c r="CN120" s="129" t="s">
        <v>1073</v>
      </c>
      <c r="CO120" s="129" t="s">
        <v>1073</v>
      </c>
      <c r="CP120" s="129" t="s">
        <v>1073</v>
      </c>
      <c r="CQ120" s="129" t="s">
        <v>1073</v>
      </c>
      <c r="CR120" s="129" t="s">
        <v>1073</v>
      </c>
      <c r="CS120" s="129" t="s">
        <v>1073</v>
      </c>
      <c r="CT120" s="129" t="s">
        <v>1073</v>
      </c>
      <c r="CU120" s="129" t="s">
        <v>1073</v>
      </c>
      <c r="CV120" s="129" t="s">
        <v>1073</v>
      </c>
      <c r="CW120" s="129" t="s">
        <v>1073</v>
      </c>
      <c r="CX120" s="129" t="s">
        <v>1073</v>
      </c>
      <c r="CY120" s="129" t="s">
        <v>1073</v>
      </c>
    </row>
    <row r="121" spans="2:86" s="154" customFormat="1" ht="14.25">
      <c r="B121" s="136" t="s">
        <v>1215</v>
      </c>
      <c r="C121" s="136" t="s">
        <v>1215</v>
      </c>
      <c r="D121" s="136" t="s">
        <v>1215</v>
      </c>
      <c r="E121" s="136" t="s">
        <v>1215</v>
      </c>
      <c r="F121" s="136" t="s">
        <v>1215</v>
      </c>
      <c r="G121" s="136" t="s">
        <v>1215</v>
      </c>
      <c r="H121" s="136" t="s">
        <v>1215</v>
      </c>
      <c r="I121" s="136" t="s">
        <v>1084</v>
      </c>
      <c r="J121" s="136" t="s">
        <v>1084</v>
      </c>
      <c r="K121" s="136" t="s">
        <v>1084</v>
      </c>
      <c r="L121" s="136" t="s">
        <v>1084</v>
      </c>
      <c r="M121" s="136" t="s">
        <v>1084</v>
      </c>
      <c r="N121" s="136" t="s">
        <v>1084</v>
      </c>
      <c r="O121" s="136" t="s">
        <v>1084</v>
      </c>
      <c r="P121" s="136" t="s">
        <v>1084</v>
      </c>
      <c r="Q121" s="136" t="s">
        <v>1084</v>
      </c>
      <c r="R121" s="136" t="s">
        <v>1084</v>
      </c>
      <c r="S121" s="136" t="s">
        <v>1084</v>
      </c>
      <c r="T121" s="136" t="s">
        <v>1084</v>
      </c>
      <c r="U121" s="136" t="s">
        <v>1084</v>
      </c>
      <c r="V121" s="136" t="s">
        <v>1084</v>
      </c>
      <c r="W121" s="136" t="s">
        <v>1084</v>
      </c>
      <c r="X121" s="136" t="s">
        <v>1084</v>
      </c>
      <c r="Y121" s="136" t="s">
        <v>1084</v>
      </c>
      <c r="Z121" s="136" t="s">
        <v>1084</v>
      </c>
      <c r="AA121" s="136" t="s">
        <v>1084</v>
      </c>
      <c r="AB121" s="136" t="s">
        <v>1084</v>
      </c>
      <c r="AC121" s="136" t="s">
        <v>1084</v>
      </c>
      <c r="AD121" s="136" t="s">
        <v>1084</v>
      </c>
      <c r="AE121" s="136" t="s">
        <v>1084</v>
      </c>
      <c r="AF121" s="136" t="s">
        <v>1084</v>
      </c>
      <c r="AG121" s="136" t="s">
        <v>1215</v>
      </c>
      <c r="AH121" s="136" t="s">
        <v>1084</v>
      </c>
      <c r="AI121" s="136" t="s">
        <v>1084</v>
      </c>
      <c r="AJ121" s="136" t="s">
        <v>1084</v>
      </c>
      <c r="AK121" s="136" t="s">
        <v>1084</v>
      </c>
      <c r="AL121" s="136" t="s">
        <v>1084</v>
      </c>
      <c r="AM121" s="136" t="s">
        <v>1084</v>
      </c>
      <c r="AN121" s="136" t="s">
        <v>1084</v>
      </c>
      <c r="AO121" s="136" t="s">
        <v>1084</v>
      </c>
      <c r="AP121" s="136" t="s">
        <v>1084</v>
      </c>
      <c r="AQ121" s="136" t="s">
        <v>1084</v>
      </c>
      <c r="AR121" s="136" t="s">
        <v>1084</v>
      </c>
      <c r="AS121" s="136" t="s">
        <v>1084</v>
      </c>
      <c r="AT121" s="136" t="s">
        <v>1084</v>
      </c>
      <c r="AU121" s="136" t="s">
        <v>1084</v>
      </c>
      <c r="AV121" s="136" t="s">
        <v>1084</v>
      </c>
      <c r="AW121" s="136" t="s">
        <v>1084</v>
      </c>
      <c r="AX121" s="136" t="s">
        <v>1084</v>
      </c>
      <c r="AY121" s="136" t="s">
        <v>1084</v>
      </c>
      <c r="AZ121" s="136" t="s">
        <v>1084</v>
      </c>
      <c r="BA121" s="136" t="s">
        <v>1084</v>
      </c>
      <c r="BB121" s="136" t="s">
        <v>1084</v>
      </c>
      <c r="BC121" s="136" t="s">
        <v>1084</v>
      </c>
      <c r="BD121" s="136" t="s">
        <v>1084</v>
      </c>
      <c r="BE121" s="136" t="s">
        <v>1084</v>
      </c>
      <c r="BF121" s="136" t="s">
        <v>1084</v>
      </c>
      <c r="BG121" s="136" t="s">
        <v>1084</v>
      </c>
      <c r="BH121" s="136" t="s">
        <v>1084</v>
      </c>
      <c r="BI121" s="136" t="s">
        <v>1084</v>
      </c>
      <c r="BJ121" s="136" t="s">
        <v>1084</v>
      </c>
      <c r="BK121" s="136" t="s">
        <v>1084</v>
      </c>
      <c r="BL121" s="136" t="s">
        <v>1084</v>
      </c>
      <c r="BM121" s="136" t="s">
        <v>1084</v>
      </c>
      <c r="BN121" s="136" t="s">
        <v>1084</v>
      </c>
      <c r="BO121" s="136" t="s">
        <v>1084</v>
      </c>
      <c r="BP121" s="136" t="s">
        <v>1084</v>
      </c>
      <c r="BQ121" s="136" t="s">
        <v>1084</v>
      </c>
      <c r="BR121" s="136" t="s">
        <v>1084</v>
      </c>
      <c r="BS121" s="136" t="s">
        <v>1084</v>
      </c>
      <c r="BT121" s="136" t="s">
        <v>1084</v>
      </c>
      <c r="BU121" s="136" t="s">
        <v>1084</v>
      </c>
      <c r="BV121" s="136" t="s">
        <v>1084</v>
      </c>
      <c r="BW121" s="136" t="s">
        <v>1084</v>
      </c>
      <c r="BX121" s="136" t="s">
        <v>1084</v>
      </c>
      <c r="BY121" s="277"/>
      <c r="BZ121" s="277"/>
      <c r="CA121" s="277"/>
      <c r="CB121" s="277"/>
      <c r="CC121" s="277"/>
      <c r="CD121" s="277"/>
      <c r="CE121" s="277"/>
      <c r="CF121" s="277"/>
      <c r="CG121" s="277"/>
      <c r="CH121" s="277"/>
    </row>
    <row r="122" spans="2:86" ht="14.25">
      <c r="B122" s="143" t="s">
        <v>1215</v>
      </c>
      <c r="C122" s="143" t="s">
        <v>1215</v>
      </c>
      <c r="D122" s="143" t="s">
        <v>1215</v>
      </c>
      <c r="E122" s="143" t="s">
        <v>1215</v>
      </c>
      <c r="F122" s="143" t="s">
        <v>1215</v>
      </c>
      <c r="G122" s="143" t="s">
        <v>1215</v>
      </c>
      <c r="H122" s="143" t="s">
        <v>1215</v>
      </c>
      <c r="I122" s="143" t="s">
        <v>1215</v>
      </c>
      <c r="J122" s="143" t="s">
        <v>1215</v>
      </c>
      <c r="K122" s="143" t="s">
        <v>1215</v>
      </c>
      <c r="L122" s="143" t="s">
        <v>1215</v>
      </c>
      <c r="M122" s="143" t="s">
        <v>1215</v>
      </c>
      <c r="N122" s="143" t="s">
        <v>1215</v>
      </c>
      <c r="O122" s="143" t="s">
        <v>1215</v>
      </c>
      <c r="P122" s="143" t="s">
        <v>1215</v>
      </c>
      <c r="Q122" s="143" t="s">
        <v>1215</v>
      </c>
      <c r="R122" s="143" t="s">
        <v>1215</v>
      </c>
      <c r="S122" s="143" t="s">
        <v>1215</v>
      </c>
      <c r="T122" s="143" t="s">
        <v>1215</v>
      </c>
      <c r="U122" s="143" t="s">
        <v>1215</v>
      </c>
      <c r="V122" s="143" t="s">
        <v>1215</v>
      </c>
      <c r="W122" s="143" t="s">
        <v>1215</v>
      </c>
      <c r="X122" s="143" t="s">
        <v>1215</v>
      </c>
      <c r="Y122" s="143" t="s">
        <v>1215</v>
      </c>
      <c r="Z122" s="143" t="s">
        <v>1215</v>
      </c>
      <c r="AA122" s="143" t="s">
        <v>1215</v>
      </c>
      <c r="AB122" s="143" t="s">
        <v>1215</v>
      </c>
      <c r="AC122" s="143" t="s">
        <v>1215</v>
      </c>
      <c r="AD122" s="143" t="s">
        <v>1215</v>
      </c>
      <c r="AE122" s="143" t="s">
        <v>1215</v>
      </c>
      <c r="AF122" s="143" t="s">
        <v>1215</v>
      </c>
      <c r="AG122" s="143" t="s">
        <v>1215</v>
      </c>
      <c r="AH122" s="143" t="s">
        <v>1215</v>
      </c>
      <c r="AI122" s="143" t="s">
        <v>1215</v>
      </c>
      <c r="AJ122" s="143" t="s">
        <v>1215</v>
      </c>
      <c r="AK122" s="143" t="s">
        <v>1215</v>
      </c>
      <c r="AL122" s="143" t="s">
        <v>1215</v>
      </c>
      <c r="AM122" s="143" t="s">
        <v>1215</v>
      </c>
      <c r="AN122" s="143" t="s">
        <v>1215</v>
      </c>
      <c r="AO122" s="143" t="s">
        <v>1215</v>
      </c>
      <c r="AP122" s="143" t="s">
        <v>1215</v>
      </c>
      <c r="AQ122" s="143" t="s">
        <v>1215</v>
      </c>
      <c r="AR122" s="143" t="s">
        <v>1215</v>
      </c>
      <c r="AS122" s="143" t="s">
        <v>1215</v>
      </c>
      <c r="AT122" s="143" t="s">
        <v>1215</v>
      </c>
      <c r="AU122" s="143" t="s">
        <v>1215</v>
      </c>
      <c r="AV122" s="143" t="s">
        <v>1215</v>
      </c>
      <c r="AW122" s="143" t="s">
        <v>1215</v>
      </c>
      <c r="AX122" s="143" t="s">
        <v>1215</v>
      </c>
      <c r="AY122" s="143" t="s">
        <v>1215</v>
      </c>
      <c r="AZ122" s="143" t="s">
        <v>1215</v>
      </c>
      <c r="BA122" s="143" t="s">
        <v>1215</v>
      </c>
      <c r="BB122" s="143" t="s">
        <v>1215</v>
      </c>
      <c r="BC122" s="143" t="s">
        <v>1215</v>
      </c>
      <c r="BD122" s="143" t="s">
        <v>1215</v>
      </c>
      <c r="BE122" s="143" t="s">
        <v>1215</v>
      </c>
      <c r="BF122" s="143" t="s">
        <v>1215</v>
      </c>
      <c r="BG122" s="143" t="s">
        <v>1215</v>
      </c>
      <c r="BH122" s="143" t="s">
        <v>1215</v>
      </c>
      <c r="BI122" s="143" t="s">
        <v>1215</v>
      </c>
      <c r="BJ122" s="143" t="s">
        <v>1215</v>
      </c>
      <c r="BK122" s="143" t="s">
        <v>1215</v>
      </c>
      <c r="BL122" s="143" t="s">
        <v>1215</v>
      </c>
      <c r="BM122" s="143" t="s">
        <v>1215</v>
      </c>
      <c r="BN122" s="143" t="s">
        <v>1215</v>
      </c>
      <c r="BO122" s="164" t="str">
        <f>IF(AND(Configurator!$E$5&lt;7,Configurator!$D$5&lt;8),"6","*")</f>
        <v>6</v>
      </c>
      <c r="BP122" s="143" t="s">
        <v>1215</v>
      </c>
      <c r="BQ122" s="164" t="str">
        <f>IF(AND(Configurator!$E$5&lt;7,Configurator!$D$5&lt;8),"6","*")</f>
        <v>6</v>
      </c>
      <c r="BR122" s="143" t="s">
        <v>1215</v>
      </c>
      <c r="BS122" s="164" t="str">
        <f>IF(AND(Configurator!$E$5&lt;7,Configurator!$D$5&lt;8),"6","*")</f>
        <v>6</v>
      </c>
      <c r="BT122" s="164" t="str">
        <f>IF(AND(Configurator!$E$5&lt;7,Configurator!$D$5&lt;8),"6","*")</f>
        <v>6</v>
      </c>
      <c r="BU122" s="143" t="s">
        <v>1215</v>
      </c>
      <c r="BV122" s="164" t="str">
        <f>IF(AND(Configurator!$E$5&lt;7,Configurator!$D$5&lt;8),"6","*")</f>
        <v>6</v>
      </c>
      <c r="BW122" s="143" t="s">
        <v>1215</v>
      </c>
      <c r="BX122" s="164" t="str">
        <f>IF(AND(Configurator!$E$5&lt;7,Configurator!$D$5&lt;8),"6","*")</f>
        <v>6</v>
      </c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</row>
    <row r="123" spans="2:86" ht="14.25">
      <c r="B123" s="144" t="s">
        <v>1073</v>
      </c>
      <c r="C123" s="144" t="s">
        <v>1073</v>
      </c>
      <c r="D123" s="144" t="s">
        <v>1073</v>
      </c>
      <c r="E123" s="144" t="s">
        <v>1073</v>
      </c>
      <c r="F123" s="144" t="s">
        <v>1073</v>
      </c>
      <c r="G123" s="144" t="s">
        <v>1073</v>
      </c>
      <c r="H123" s="144" t="s">
        <v>1073</v>
      </c>
      <c r="I123" s="144" t="s">
        <v>1073</v>
      </c>
      <c r="J123" s="144" t="s">
        <v>1073</v>
      </c>
      <c r="K123" s="144" t="s">
        <v>1073</v>
      </c>
      <c r="L123" s="144" t="s">
        <v>1073</v>
      </c>
      <c r="M123" s="144" t="s">
        <v>1073</v>
      </c>
      <c r="N123" s="144" t="s">
        <v>1073</v>
      </c>
      <c r="O123" s="144" t="s">
        <v>1073</v>
      </c>
      <c r="P123" s="144" t="s">
        <v>1073</v>
      </c>
      <c r="Q123" s="144" t="s">
        <v>1073</v>
      </c>
      <c r="R123" s="144" t="s">
        <v>1073</v>
      </c>
      <c r="S123" s="144" t="s">
        <v>1073</v>
      </c>
      <c r="T123" s="144" t="s">
        <v>1073</v>
      </c>
      <c r="U123" s="144" t="s">
        <v>1073</v>
      </c>
      <c r="V123" s="144" t="s">
        <v>1073</v>
      </c>
      <c r="W123" s="144" t="s">
        <v>1073</v>
      </c>
      <c r="X123" s="144" t="s">
        <v>1073</v>
      </c>
      <c r="Y123" s="144" t="s">
        <v>1073</v>
      </c>
      <c r="Z123" s="144" t="s">
        <v>1073</v>
      </c>
      <c r="AA123" s="144" t="s">
        <v>1073</v>
      </c>
      <c r="AB123" s="144" t="s">
        <v>1073</v>
      </c>
      <c r="AC123" s="144" t="s">
        <v>1073</v>
      </c>
      <c r="AD123" s="144" t="s">
        <v>1073</v>
      </c>
      <c r="AE123" s="144" t="s">
        <v>1073</v>
      </c>
      <c r="AF123" s="144" t="s">
        <v>1073</v>
      </c>
      <c r="AG123" s="144" t="s">
        <v>1073</v>
      </c>
      <c r="AH123" s="144" t="s">
        <v>1073</v>
      </c>
      <c r="AI123" s="144" t="s">
        <v>1073</v>
      </c>
      <c r="AJ123" s="144" t="s">
        <v>1073</v>
      </c>
      <c r="AK123" s="144" t="s">
        <v>1073</v>
      </c>
      <c r="AL123" s="144" t="s">
        <v>1073</v>
      </c>
      <c r="AM123" s="144" t="s">
        <v>1073</v>
      </c>
      <c r="AN123" s="144" t="s">
        <v>1073</v>
      </c>
      <c r="AO123" s="144" t="s">
        <v>1073</v>
      </c>
      <c r="AP123" s="144" t="s">
        <v>1073</v>
      </c>
      <c r="AQ123" s="144" t="s">
        <v>1073</v>
      </c>
      <c r="AR123" s="144" t="s">
        <v>1073</v>
      </c>
      <c r="AS123" s="144" t="s">
        <v>1073</v>
      </c>
      <c r="AT123" s="144" t="s">
        <v>1073</v>
      </c>
      <c r="AU123" s="144" t="s">
        <v>1073</v>
      </c>
      <c r="AV123" s="144" t="s">
        <v>1073</v>
      </c>
      <c r="AW123" s="144" t="s">
        <v>1073</v>
      </c>
      <c r="AX123" s="144" t="s">
        <v>1073</v>
      </c>
      <c r="AY123" s="144" t="s">
        <v>1073</v>
      </c>
      <c r="AZ123" s="144" t="s">
        <v>1073</v>
      </c>
      <c r="BA123" s="144" t="s">
        <v>1073</v>
      </c>
      <c r="BB123" s="144" t="s">
        <v>1073</v>
      </c>
      <c r="BC123" s="144" t="s">
        <v>1073</v>
      </c>
      <c r="BD123" s="144" t="s">
        <v>1073</v>
      </c>
      <c r="BE123" s="144" t="s">
        <v>1073</v>
      </c>
      <c r="BF123" s="144" t="s">
        <v>1073</v>
      </c>
      <c r="BG123" s="144" t="s">
        <v>1073</v>
      </c>
      <c r="BH123" s="144" t="s">
        <v>1073</v>
      </c>
      <c r="BI123" s="144" t="s">
        <v>1073</v>
      </c>
      <c r="BJ123" s="144" t="s">
        <v>1073</v>
      </c>
      <c r="BK123" s="144" t="s">
        <v>1073</v>
      </c>
      <c r="BL123" s="144" t="s">
        <v>1073</v>
      </c>
      <c r="BM123" s="144" t="s">
        <v>1073</v>
      </c>
      <c r="BN123" s="144" t="s">
        <v>1073</v>
      </c>
      <c r="BO123" s="144" t="s">
        <v>1073</v>
      </c>
      <c r="BP123" s="144" t="s">
        <v>1073</v>
      </c>
      <c r="BQ123" s="144" t="s">
        <v>1073</v>
      </c>
      <c r="BR123" s="144" t="s">
        <v>1073</v>
      </c>
      <c r="BS123" s="144" t="s">
        <v>1073</v>
      </c>
      <c r="BT123" s="144" t="s">
        <v>1073</v>
      </c>
      <c r="BU123" s="144" t="s">
        <v>1073</v>
      </c>
      <c r="BV123" s="144" t="s">
        <v>1073</v>
      </c>
      <c r="BW123" s="144" t="s">
        <v>1073</v>
      </c>
      <c r="BX123" s="144" t="s">
        <v>1073</v>
      </c>
      <c r="BY123" s="277"/>
      <c r="BZ123" s="277"/>
      <c r="CA123" s="277"/>
      <c r="CB123" s="277"/>
      <c r="CC123" s="277"/>
      <c r="CD123" s="277"/>
      <c r="CE123" s="277"/>
      <c r="CF123" s="277"/>
      <c r="CG123" s="277"/>
      <c r="CH123" s="277"/>
    </row>
    <row r="124" spans="2:86" ht="14.25">
      <c r="B124" s="136" t="s">
        <v>19</v>
      </c>
      <c r="C124" s="136" t="s">
        <v>19</v>
      </c>
      <c r="D124" s="136" t="s">
        <v>19</v>
      </c>
      <c r="E124" s="136" t="s">
        <v>19</v>
      </c>
      <c r="F124" s="136" t="s">
        <v>19</v>
      </c>
      <c r="G124" s="136" t="s">
        <v>19</v>
      </c>
      <c r="H124" s="136" t="s">
        <v>19</v>
      </c>
      <c r="I124" s="136" t="s">
        <v>19</v>
      </c>
      <c r="J124" s="136" t="s">
        <v>19</v>
      </c>
      <c r="K124" s="136" t="s">
        <v>19</v>
      </c>
      <c r="L124" s="136" t="s">
        <v>19</v>
      </c>
      <c r="M124" s="136" t="s">
        <v>19</v>
      </c>
      <c r="N124" s="136" t="s">
        <v>19</v>
      </c>
      <c r="O124" s="136" t="s">
        <v>19</v>
      </c>
      <c r="P124" s="136" t="s">
        <v>19</v>
      </c>
      <c r="Q124" s="136" t="s">
        <v>19</v>
      </c>
      <c r="R124" s="136" t="s">
        <v>19</v>
      </c>
      <c r="S124" s="136" t="s">
        <v>19</v>
      </c>
      <c r="T124" s="136" t="s">
        <v>19</v>
      </c>
      <c r="U124" s="136" t="s">
        <v>19</v>
      </c>
      <c r="V124" s="136" t="s">
        <v>19</v>
      </c>
      <c r="W124" s="136" t="s">
        <v>19</v>
      </c>
      <c r="X124" s="136" t="s">
        <v>19</v>
      </c>
      <c r="Y124" s="136" t="s">
        <v>19</v>
      </c>
      <c r="Z124" s="136" t="s">
        <v>19</v>
      </c>
      <c r="AA124" s="136" t="s">
        <v>19</v>
      </c>
      <c r="AB124" s="136" t="s">
        <v>19</v>
      </c>
      <c r="AC124" s="136" t="s">
        <v>19</v>
      </c>
      <c r="AD124" s="136" t="s">
        <v>19</v>
      </c>
      <c r="AE124" s="136" t="s">
        <v>19</v>
      </c>
      <c r="AF124" s="136" t="s">
        <v>19</v>
      </c>
      <c r="AG124" s="136" t="s">
        <v>19</v>
      </c>
      <c r="AH124" s="136" t="s">
        <v>19</v>
      </c>
      <c r="AI124" s="136" t="s">
        <v>19</v>
      </c>
      <c r="AJ124" s="136" t="s">
        <v>19</v>
      </c>
      <c r="AK124" s="136" t="s">
        <v>19</v>
      </c>
      <c r="AL124" s="136" t="s">
        <v>19</v>
      </c>
      <c r="AM124" s="136" t="s">
        <v>19</v>
      </c>
      <c r="AN124" s="136" t="s">
        <v>19</v>
      </c>
      <c r="AO124" s="136" t="s">
        <v>19</v>
      </c>
      <c r="AP124" s="136" t="s">
        <v>19</v>
      </c>
      <c r="AQ124" s="136" t="s">
        <v>19</v>
      </c>
      <c r="AR124" s="136" t="s">
        <v>19</v>
      </c>
      <c r="AS124" s="136" t="s">
        <v>19</v>
      </c>
      <c r="AT124" s="136" t="s">
        <v>19</v>
      </c>
      <c r="AU124" s="136" t="s">
        <v>19</v>
      </c>
      <c r="AV124" s="136" t="s">
        <v>19</v>
      </c>
      <c r="AW124" s="136" t="s">
        <v>19</v>
      </c>
      <c r="AX124" s="136" t="s">
        <v>19</v>
      </c>
      <c r="AY124" s="136" t="s">
        <v>19</v>
      </c>
      <c r="AZ124" s="136" t="s">
        <v>19</v>
      </c>
      <c r="BA124" s="136" t="s">
        <v>19</v>
      </c>
      <c r="BB124" s="136" t="s">
        <v>19</v>
      </c>
      <c r="BC124" s="136" t="s">
        <v>19</v>
      </c>
      <c r="BD124" s="136" t="s">
        <v>19</v>
      </c>
      <c r="BE124" s="136" t="s">
        <v>716</v>
      </c>
      <c r="BF124" s="136" t="s">
        <v>19</v>
      </c>
      <c r="BG124" s="136" t="s">
        <v>716</v>
      </c>
      <c r="BH124" s="136" t="s">
        <v>716</v>
      </c>
      <c r="BI124" s="136" t="s">
        <v>19</v>
      </c>
      <c r="BJ124" s="136" t="s">
        <v>19</v>
      </c>
      <c r="BK124" s="136" t="s">
        <v>716</v>
      </c>
      <c r="BL124" s="136" t="s">
        <v>716</v>
      </c>
      <c r="BM124" s="136" t="s">
        <v>716</v>
      </c>
      <c r="BN124" s="136" t="s">
        <v>716</v>
      </c>
      <c r="BO124" s="136" t="s">
        <v>716</v>
      </c>
      <c r="BP124" s="136" t="s">
        <v>19</v>
      </c>
      <c r="BQ124" s="136" t="s">
        <v>716</v>
      </c>
      <c r="BR124" s="136" t="s">
        <v>716</v>
      </c>
      <c r="BS124" s="136" t="s">
        <v>716</v>
      </c>
      <c r="BT124" s="136" t="s">
        <v>716</v>
      </c>
      <c r="BU124" s="136" t="s">
        <v>19</v>
      </c>
      <c r="BV124" s="136" t="s">
        <v>716</v>
      </c>
      <c r="BW124" s="136" t="s">
        <v>716</v>
      </c>
      <c r="BX124" s="136" t="s">
        <v>716</v>
      </c>
      <c r="BY124" s="277"/>
      <c r="BZ124" s="277"/>
      <c r="CA124" s="277"/>
      <c r="CB124" s="277"/>
      <c r="CC124" s="277"/>
      <c r="CD124" s="277"/>
      <c r="CE124" s="277"/>
      <c r="CF124" s="277"/>
      <c r="CG124" s="277"/>
      <c r="CH124" s="277"/>
    </row>
    <row r="125" spans="2:86" ht="14.25">
      <c r="B125" s="136" t="s">
        <v>1088</v>
      </c>
      <c r="C125" s="136" t="s">
        <v>1088</v>
      </c>
      <c r="D125" s="136" t="s">
        <v>1088</v>
      </c>
      <c r="E125" s="136" t="s">
        <v>1088</v>
      </c>
      <c r="F125" s="136" t="s">
        <v>1088</v>
      </c>
      <c r="G125" s="136" t="s">
        <v>1088</v>
      </c>
      <c r="H125" s="136" t="s">
        <v>1088</v>
      </c>
      <c r="I125" s="136" t="s">
        <v>1088</v>
      </c>
      <c r="J125" s="136" t="s">
        <v>1088</v>
      </c>
      <c r="K125" s="136" t="s">
        <v>1088</v>
      </c>
      <c r="L125" s="136" t="s">
        <v>1088</v>
      </c>
      <c r="M125" s="136" t="s">
        <v>1088</v>
      </c>
      <c r="N125" s="136" t="s">
        <v>1088</v>
      </c>
      <c r="O125" s="136" t="s">
        <v>1088</v>
      </c>
      <c r="P125" s="136" t="s">
        <v>1088</v>
      </c>
      <c r="Q125" s="136" t="s">
        <v>1088</v>
      </c>
      <c r="R125" s="136" t="s">
        <v>1088</v>
      </c>
      <c r="S125" s="136" t="s">
        <v>1088</v>
      </c>
      <c r="T125" s="136" t="s">
        <v>1088</v>
      </c>
      <c r="U125" s="136" t="s">
        <v>1088</v>
      </c>
      <c r="V125" s="136" t="s">
        <v>1088</v>
      </c>
      <c r="W125" s="136" t="s">
        <v>1088</v>
      </c>
      <c r="X125" s="136" t="s">
        <v>1088</v>
      </c>
      <c r="Y125" s="136" t="s">
        <v>1088</v>
      </c>
      <c r="Z125" s="136" t="s">
        <v>1088</v>
      </c>
      <c r="AA125" s="136" t="s">
        <v>1088</v>
      </c>
      <c r="AB125" s="136" t="s">
        <v>1088</v>
      </c>
      <c r="AC125" s="136" t="s">
        <v>1088</v>
      </c>
      <c r="AD125" s="136" t="s">
        <v>1088</v>
      </c>
      <c r="AE125" s="136" t="s">
        <v>1088</v>
      </c>
      <c r="AF125" s="136" t="s">
        <v>1088</v>
      </c>
      <c r="AG125" s="136" t="s">
        <v>1088</v>
      </c>
      <c r="AH125" s="136" t="s">
        <v>1088</v>
      </c>
      <c r="AI125" s="136" t="s">
        <v>1088</v>
      </c>
      <c r="AJ125" s="136" t="s">
        <v>1088</v>
      </c>
      <c r="AK125" s="136" t="s">
        <v>1088</v>
      </c>
      <c r="AL125" s="136" t="s">
        <v>1088</v>
      </c>
      <c r="AM125" s="136" t="s">
        <v>1088</v>
      </c>
      <c r="AN125" s="136" t="s">
        <v>1088</v>
      </c>
      <c r="AO125" s="136" t="s">
        <v>1088</v>
      </c>
      <c r="AP125" s="136" t="s">
        <v>1088</v>
      </c>
      <c r="AQ125" s="136" t="s">
        <v>1088</v>
      </c>
      <c r="AR125" s="136" t="s">
        <v>1088</v>
      </c>
      <c r="AS125" s="136" t="s">
        <v>1088</v>
      </c>
      <c r="AT125" s="136" t="s">
        <v>1088</v>
      </c>
      <c r="AU125" s="136" t="s">
        <v>1088</v>
      </c>
      <c r="AV125" s="136" t="s">
        <v>1088</v>
      </c>
      <c r="AW125" s="136" t="s">
        <v>1088</v>
      </c>
      <c r="AX125" s="136" t="s">
        <v>1088</v>
      </c>
      <c r="AY125" s="136" t="s">
        <v>1088</v>
      </c>
      <c r="AZ125" s="136" t="s">
        <v>1088</v>
      </c>
      <c r="BA125" s="136" t="s">
        <v>1088</v>
      </c>
      <c r="BB125" s="136" t="s">
        <v>1088</v>
      </c>
      <c r="BC125" s="136" t="s">
        <v>1088</v>
      </c>
      <c r="BD125" s="136" t="s">
        <v>1088</v>
      </c>
      <c r="BE125" s="136" t="s">
        <v>1088</v>
      </c>
      <c r="BF125" s="136" t="s">
        <v>1088</v>
      </c>
      <c r="BG125" s="136" t="s">
        <v>1088</v>
      </c>
      <c r="BH125" s="136" t="s">
        <v>1088</v>
      </c>
      <c r="BI125" s="136" t="s">
        <v>1088</v>
      </c>
      <c r="BJ125" s="136" t="s">
        <v>1088</v>
      </c>
      <c r="BK125" s="136" t="s">
        <v>1088</v>
      </c>
      <c r="BL125" s="136" t="s">
        <v>1088</v>
      </c>
      <c r="BM125" s="136" t="s">
        <v>1088</v>
      </c>
      <c r="BN125" s="136" t="s">
        <v>1088</v>
      </c>
      <c r="BO125" s="136" t="s">
        <v>1088</v>
      </c>
      <c r="BP125" s="136" t="s">
        <v>1088</v>
      </c>
      <c r="BQ125" s="136" t="s">
        <v>1088</v>
      </c>
      <c r="BR125" s="136" t="s">
        <v>1088</v>
      </c>
      <c r="BS125" s="136" t="s">
        <v>1088</v>
      </c>
      <c r="BT125" s="136" t="s">
        <v>1088</v>
      </c>
      <c r="BU125" s="136" t="s">
        <v>1088</v>
      </c>
      <c r="BV125" s="136" t="s">
        <v>1088</v>
      </c>
      <c r="BW125" s="136" t="s">
        <v>1088</v>
      </c>
      <c r="BX125" s="136" t="s">
        <v>1088</v>
      </c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</row>
    <row r="126" spans="1:100" ht="14.25">
      <c r="A126" s="129" t="s">
        <v>1073</v>
      </c>
      <c r="B126" s="136" t="s">
        <v>19</v>
      </c>
      <c r="C126" s="136" t="s">
        <v>19</v>
      </c>
      <c r="D126" s="136" t="s">
        <v>19</v>
      </c>
      <c r="E126" s="136" t="s">
        <v>19</v>
      </c>
      <c r="F126" s="136" t="s">
        <v>19</v>
      </c>
      <c r="G126" s="136" t="s">
        <v>19</v>
      </c>
      <c r="H126" s="136" t="s">
        <v>19</v>
      </c>
      <c r="I126" s="136" t="s">
        <v>19</v>
      </c>
      <c r="J126" s="136" t="s">
        <v>19</v>
      </c>
      <c r="K126" s="136" t="s">
        <v>19</v>
      </c>
      <c r="L126" s="136" t="s">
        <v>19</v>
      </c>
      <c r="M126" s="136" t="s">
        <v>19</v>
      </c>
      <c r="N126" s="136" t="s">
        <v>1089</v>
      </c>
      <c r="O126" s="136" t="s">
        <v>1089</v>
      </c>
      <c r="P126" s="136" t="s">
        <v>1089</v>
      </c>
      <c r="Q126" s="136" t="s">
        <v>1089</v>
      </c>
      <c r="R126" s="136" t="s">
        <v>1089</v>
      </c>
      <c r="S126" s="136" t="s">
        <v>1089</v>
      </c>
      <c r="T126" s="136" t="s">
        <v>1089</v>
      </c>
      <c r="U126" s="136" t="s">
        <v>1089</v>
      </c>
      <c r="V126" s="136" t="s">
        <v>1089</v>
      </c>
      <c r="W126" s="136" t="s">
        <v>1089</v>
      </c>
      <c r="X126" s="136" t="s">
        <v>1089</v>
      </c>
      <c r="Y126" s="136" t="s">
        <v>1089</v>
      </c>
      <c r="Z126" s="136" t="s">
        <v>1089</v>
      </c>
      <c r="AA126" s="136" t="s">
        <v>1089</v>
      </c>
      <c r="AB126" s="136" t="s">
        <v>1089</v>
      </c>
      <c r="AC126" s="136" t="s">
        <v>1089</v>
      </c>
      <c r="AD126" s="136" t="s">
        <v>1089</v>
      </c>
      <c r="AE126" s="136" t="s">
        <v>1089</v>
      </c>
      <c r="AF126" s="136" t="s">
        <v>1089</v>
      </c>
      <c r="AG126" s="136" t="s">
        <v>19</v>
      </c>
      <c r="AH126" s="136" t="s">
        <v>1089</v>
      </c>
      <c r="AI126" s="136" t="s">
        <v>1089</v>
      </c>
      <c r="AJ126" s="136" t="s">
        <v>1089</v>
      </c>
      <c r="AK126" s="136" t="s">
        <v>1089</v>
      </c>
      <c r="AL126" s="136" t="s">
        <v>1089</v>
      </c>
      <c r="AM126" s="136" t="s">
        <v>1089</v>
      </c>
      <c r="AN126" s="136" t="s">
        <v>1089</v>
      </c>
      <c r="AO126" s="136" t="s">
        <v>1089</v>
      </c>
      <c r="AP126" s="136" t="s">
        <v>1089</v>
      </c>
      <c r="AQ126" s="136" t="s">
        <v>1089</v>
      </c>
      <c r="AR126" s="136" t="s">
        <v>1089</v>
      </c>
      <c r="AS126" s="136" t="s">
        <v>1089</v>
      </c>
      <c r="AT126" s="136" t="s">
        <v>1089</v>
      </c>
      <c r="AU126" s="136" t="s">
        <v>1089</v>
      </c>
      <c r="AV126" s="136" t="s">
        <v>1089</v>
      </c>
      <c r="AW126" s="136" t="s">
        <v>1089</v>
      </c>
      <c r="AX126" s="136" t="s">
        <v>1089</v>
      </c>
      <c r="AY126" s="136" t="s">
        <v>1089</v>
      </c>
      <c r="AZ126" s="136" t="s">
        <v>1089</v>
      </c>
      <c r="BA126" s="136" t="s">
        <v>1089</v>
      </c>
      <c r="BB126" s="136" t="s">
        <v>1089</v>
      </c>
      <c r="BC126" s="136" t="s">
        <v>1089</v>
      </c>
      <c r="BD126" s="136" t="s">
        <v>1089</v>
      </c>
      <c r="BE126" s="136" t="s">
        <v>1089</v>
      </c>
      <c r="BF126" s="136" t="s">
        <v>1089</v>
      </c>
      <c r="BG126" s="136" t="s">
        <v>1089</v>
      </c>
      <c r="BH126" s="136" t="s">
        <v>1089</v>
      </c>
      <c r="BI126" s="136" t="s">
        <v>1089</v>
      </c>
      <c r="BJ126" s="136" t="s">
        <v>1089</v>
      </c>
      <c r="BK126" s="136" t="s">
        <v>1089</v>
      </c>
      <c r="BL126" s="136" t="s">
        <v>1089</v>
      </c>
      <c r="BM126" s="136" t="s">
        <v>1089</v>
      </c>
      <c r="BN126" s="136" t="s">
        <v>1089</v>
      </c>
      <c r="BO126" s="136" t="s">
        <v>1089</v>
      </c>
      <c r="BP126" s="136" t="s">
        <v>1089</v>
      </c>
      <c r="BQ126" s="136" t="s">
        <v>1089</v>
      </c>
      <c r="BR126" s="136" t="s">
        <v>1089</v>
      </c>
      <c r="BS126" s="136" t="s">
        <v>1089</v>
      </c>
      <c r="BT126" s="136" t="s">
        <v>1089</v>
      </c>
      <c r="BU126" s="136" t="s">
        <v>1089</v>
      </c>
      <c r="BV126" s="136" t="s">
        <v>1089</v>
      </c>
      <c r="BW126" s="136" t="s">
        <v>1089</v>
      </c>
      <c r="BX126" s="136" t="s">
        <v>1089</v>
      </c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129" t="s">
        <v>1073</v>
      </c>
      <c r="CJ126" s="129" t="s">
        <v>1073</v>
      </c>
      <c r="CK126" s="129" t="s">
        <v>1073</v>
      </c>
      <c r="CL126" s="129" t="s">
        <v>1073</v>
      </c>
      <c r="CM126" s="129" t="s">
        <v>1073</v>
      </c>
      <c r="CN126" s="129" t="s">
        <v>1073</v>
      </c>
      <c r="CO126" s="129" t="s">
        <v>1073</v>
      </c>
      <c r="CP126" s="129" t="s">
        <v>1073</v>
      </c>
      <c r="CQ126" s="129" t="s">
        <v>1073</v>
      </c>
      <c r="CR126" s="129" t="s">
        <v>1073</v>
      </c>
      <c r="CS126" s="129" t="s">
        <v>1073</v>
      </c>
      <c r="CT126" s="129" t="s">
        <v>1073</v>
      </c>
      <c r="CU126" s="129" t="s">
        <v>1073</v>
      </c>
      <c r="CV126" s="129" t="s">
        <v>1073</v>
      </c>
    </row>
    <row r="127" spans="2:86" ht="14.25">
      <c r="B127" s="136" t="s">
        <v>19</v>
      </c>
      <c r="C127" s="136" t="s">
        <v>19</v>
      </c>
      <c r="D127" s="136" t="s">
        <v>19</v>
      </c>
      <c r="E127" s="136" t="s">
        <v>19</v>
      </c>
      <c r="F127" s="136" t="s">
        <v>19</v>
      </c>
      <c r="G127" s="136" t="s">
        <v>19</v>
      </c>
      <c r="H127" s="136" t="s">
        <v>19</v>
      </c>
      <c r="I127" s="136" t="s">
        <v>19</v>
      </c>
      <c r="J127" s="136" t="s">
        <v>19</v>
      </c>
      <c r="K127" s="136" t="s">
        <v>19</v>
      </c>
      <c r="L127" s="136" t="s">
        <v>19</v>
      </c>
      <c r="M127" s="136" t="s">
        <v>19</v>
      </c>
      <c r="N127" s="136" t="s">
        <v>19</v>
      </c>
      <c r="O127" s="136" t="s">
        <v>19</v>
      </c>
      <c r="P127" s="136" t="s">
        <v>1090</v>
      </c>
      <c r="Q127" s="136" t="s">
        <v>1090</v>
      </c>
      <c r="R127" s="136" t="s">
        <v>1090</v>
      </c>
      <c r="S127" s="136" t="s">
        <v>1090</v>
      </c>
      <c r="T127" s="136" t="s">
        <v>1090</v>
      </c>
      <c r="U127" s="136" t="s">
        <v>1090</v>
      </c>
      <c r="V127" s="136" t="s">
        <v>1090</v>
      </c>
      <c r="W127" s="136" t="s">
        <v>1090</v>
      </c>
      <c r="X127" s="136" t="s">
        <v>1090</v>
      </c>
      <c r="Y127" s="136" t="s">
        <v>1090</v>
      </c>
      <c r="Z127" s="136" t="s">
        <v>1090</v>
      </c>
      <c r="AA127" s="136" t="s">
        <v>1090</v>
      </c>
      <c r="AB127" s="136" t="s">
        <v>1090</v>
      </c>
      <c r="AC127" s="136" t="s">
        <v>1090</v>
      </c>
      <c r="AD127" s="136" t="s">
        <v>1090</v>
      </c>
      <c r="AE127" s="136" t="s">
        <v>1090</v>
      </c>
      <c r="AF127" s="136" t="s">
        <v>1090</v>
      </c>
      <c r="AG127" s="136" t="s">
        <v>19</v>
      </c>
      <c r="AH127" s="136" t="s">
        <v>1090</v>
      </c>
      <c r="AI127" s="136" t="s">
        <v>1090</v>
      </c>
      <c r="AJ127" s="136" t="s">
        <v>1090</v>
      </c>
      <c r="AK127" s="136" t="s">
        <v>1090</v>
      </c>
      <c r="AL127" s="136" t="s">
        <v>1090</v>
      </c>
      <c r="AM127" s="136" t="s">
        <v>1090</v>
      </c>
      <c r="AN127" s="136" t="s">
        <v>1090</v>
      </c>
      <c r="AO127" s="136" t="s">
        <v>1090</v>
      </c>
      <c r="AP127" s="136" t="s">
        <v>1090</v>
      </c>
      <c r="AQ127" s="136" t="s">
        <v>1090</v>
      </c>
      <c r="AR127" s="136" t="s">
        <v>1090</v>
      </c>
      <c r="AS127" s="136" t="s">
        <v>1090</v>
      </c>
      <c r="AT127" s="136" t="s">
        <v>1090</v>
      </c>
      <c r="AU127" s="136" t="s">
        <v>1090</v>
      </c>
      <c r="AV127" s="136" t="s">
        <v>1090</v>
      </c>
      <c r="AW127" s="136" t="s">
        <v>1090</v>
      </c>
      <c r="AX127" s="136" t="s">
        <v>1090</v>
      </c>
      <c r="AY127" s="136" t="s">
        <v>1090</v>
      </c>
      <c r="AZ127" s="136" t="s">
        <v>1090</v>
      </c>
      <c r="BA127" s="136" t="s">
        <v>1090</v>
      </c>
      <c r="BB127" s="136" t="s">
        <v>1090</v>
      </c>
      <c r="BC127" s="136" t="s">
        <v>1090</v>
      </c>
      <c r="BD127" s="136" t="s">
        <v>1090</v>
      </c>
      <c r="BE127" s="136" t="s">
        <v>1090</v>
      </c>
      <c r="BF127" s="136" t="s">
        <v>1090</v>
      </c>
      <c r="BG127" s="136" t="s">
        <v>1090</v>
      </c>
      <c r="BH127" s="136" t="s">
        <v>1090</v>
      </c>
      <c r="BI127" s="136" t="s">
        <v>1090</v>
      </c>
      <c r="BJ127" s="136" t="s">
        <v>1090</v>
      </c>
      <c r="BK127" s="136" t="s">
        <v>1090</v>
      </c>
      <c r="BL127" s="136" t="s">
        <v>1090</v>
      </c>
      <c r="BM127" s="136" t="s">
        <v>1090</v>
      </c>
      <c r="BN127" s="136" t="s">
        <v>1090</v>
      </c>
      <c r="BO127" s="136" t="s">
        <v>1090</v>
      </c>
      <c r="BP127" s="136" t="s">
        <v>1090</v>
      </c>
      <c r="BQ127" s="136" t="s">
        <v>1090</v>
      </c>
      <c r="BR127" s="136" t="s">
        <v>1090</v>
      </c>
      <c r="BS127" s="136" t="s">
        <v>1090</v>
      </c>
      <c r="BT127" s="136" t="s">
        <v>1090</v>
      </c>
      <c r="BU127" s="136" t="s">
        <v>1090</v>
      </c>
      <c r="BV127" s="136" t="s">
        <v>1090</v>
      </c>
      <c r="BW127" s="136" t="s">
        <v>1090</v>
      </c>
      <c r="BX127" s="136" t="s">
        <v>1090</v>
      </c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</row>
    <row r="128" spans="2:86" ht="14.25">
      <c r="B128" s="136" t="s">
        <v>19</v>
      </c>
      <c r="C128" s="136" t="s">
        <v>19</v>
      </c>
      <c r="D128" s="136" t="s">
        <v>19</v>
      </c>
      <c r="E128" s="136" t="s">
        <v>19</v>
      </c>
      <c r="F128" s="136" t="s">
        <v>19</v>
      </c>
      <c r="G128" s="136" t="s">
        <v>19</v>
      </c>
      <c r="H128" s="136" t="s">
        <v>19</v>
      </c>
      <c r="I128" s="136" t="s">
        <v>19</v>
      </c>
      <c r="J128" s="136" t="s">
        <v>19</v>
      </c>
      <c r="K128" s="136" t="s">
        <v>19</v>
      </c>
      <c r="L128" s="136" t="s">
        <v>19</v>
      </c>
      <c r="M128" s="136" t="s">
        <v>19</v>
      </c>
      <c r="N128" s="136" t="s">
        <v>19</v>
      </c>
      <c r="O128" s="136" t="s">
        <v>19</v>
      </c>
      <c r="P128" s="136" t="s">
        <v>19</v>
      </c>
      <c r="Q128" s="136" t="s">
        <v>19</v>
      </c>
      <c r="R128" s="136" t="s">
        <v>19</v>
      </c>
      <c r="S128" s="136" t="s">
        <v>19</v>
      </c>
      <c r="T128" s="136" t="s">
        <v>19</v>
      </c>
      <c r="U128" s="136" t="s">
        <v>19</v>
      </c>
      <c r="V128" s="136" t="s">
        <v>19</v>
      </c>
      <c r="W128" s="136" t="s">
        <v>19</v>
      </c>
      <c r="X128" s="136" t="s">
        <v>19</v>
      </c>
      <c r="Y128" s="136" t="s">
        <v>19</v>
      </c>
      <c r="Z128" s="136" t="s">
        <v>19</v>
      </c>
      <c r="AA128" s="136" t="s">
        <v>19</v>
      </c>
      <c r="AB128" s="136" t="s">
        <v>19</v>
      </c>
      <c r="AC128" s="136" t="s">
        <v>19</v>
      </c>
      <c r="AD128" s="136" t="s">
        <v>19</v>
      </c>
      <c r="AE128" s="136" t="s">
        <v>19</v>
      </c>
      <c r="AF128" s="136" t="s">
        <v>19</v>
      </c>
      <c r="AG128" s="136" t="s">
        <v>19</v>
      </c>
      <c r="AH128" s="136" t="s">
        <v>19</v>
      </c>
      <c r="AI128" s="136" t="s">
        <v>19</v>
      </c>
      <c r="AJ128" s="136" t="s">
        <v>19</v>
      </c>
      <c r="AK128" s="136" t="s">
        <v>19</v>
      </c>
      <c r="AL128" s="136" t="s">
        <v>19</v>
      </c>
      <c r="AM128" s="136" t="s">
        <v>19</v>
      </c>
      <c r="AN128" s="136" t="s">
        <v>19</v>
      </c>
      <c r="AO128" s="136" t="s">
        <v>19</v>
      </c>
      <c r="AP128" s="136" t="s">
        <v>19</v>
      </c>
      <c r="AQ128" s="136" t="s">
        <v>19</v>
      </c>
      <c r="AR128" s="136" t="s">
        <v>19</v>
      </c>
      <c r="AS128" s="136" t="s">
        <v>19</v>
      </c>
      <c r="AT128" s="136" t="s">
        <v>19</v>
      </c>
      <c r="AU128" s="136" t="s">
        <v>19</v>
      </c>
      <c r="AV128" s="136" t="s">
        <v>19</v>
      </c>
      <c r="AW128" s="136" t="s">
        <v>19</v>
      </c>
      <c r="AX128" s="136" t="s">
        <v>19</v>
      </c>
      <c r="AY128" s="136" t="s">
        <v>19</v>
      </c>
      <c r="AZ128" s="136" t="s">
        <v>19</v>
      </c>
      <c r="BA128" s="136" t="s">
        <v>19</v>
      </c>
      <c r="BB128" s="136" t="s">
        <v>19</v>
      </c>
      <c r="BC128" s="136" t="s">
        <v>19</v>
      </c>
      <c r="BD128" s="136" t="s">
        <v>19</v>
      </c>
      <c r="BE128" s="136" t="s">
        <v>716</v>
      </c>
      <c r="BF128" s="136" t="s">
        <v>19</v>
      </c>
      <c r="BG128" s="136" t="s">
        <v>716</v>
      </c>
      <c r="BH128" s="136" t="s">
        <v>716</v>
      </c>
      <c r="BI128" s="136" t="s">
        <v>19</v>
      </c>
      <c r="BJ128" s="136" t="s">
        <v>19</v>
      </c>
      <c r="BK128" s="136" t="s">
        <v>716</v>
      </c>
      <c r="BL128" s="136" t="s">
        <v>885</v>
      </c>
      <c r="BM128" s="136" t="s">
        <v>885</v>
      </c>
      <c r="BN128" s="136" t="s">
        <v>885</v>
      </c>
      <c r="BO128" s="136" t="s">
        <v>885</v>
      </c>
      <c r="BP128" s="136" t="s">
        <v>19</v>
      </c>
      <c r="BQ128" s="136" t="s">
        <v>885</v>
      </c>
      <c r="BR128" s="136" t="s">
        <v>885</v>
      </c>
      <c r="BS128" s="136" t="s">
        <v>885</v>
      </c>
      <c r="BT128" s="136" t="s">
        <v>885</v>
      </c>
      <c r="BU128" s="136" t="s">
        <v>19</v>
      </c>
      <c r="BV128" s="136" t="s">
        <v>885</v>
      </c>
      <c r="BW128" s="136" t="s">
        <v>885</v>
      </c>
      <c r="BX128" s="136" t="s">
        <v>885</v>
      </c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</row>
    <row r="129" spans="2:86" s="154" customFormat="1" ht="14.25">
      <c r="B129" s="136" t="s">
        <v>19</v>
      </c>
      <c r="C129" s="136" t="s">
        <v>19</v>
      </c>
      <c r="D129" s="136" t="s">
        <v>19</v>
      </c>
      <c r="E129" s="136" t="s">
        <v>19</v>
      </c>
      <c r="F129" s="136" t="s">
        <v>19</v>
      </c>
      <c r="G129" s="136" t="s">
        <v>19</v>
      </c>
      <c r="H129" s="136" t="s">
        <v>19</v>
      </c>
      <c r="I129" s="136" t="s">
        <v>35</v>
      </c>
      <c r="J129" s="136" t="s">
        <v>35</v>
      </c>
      <c r="K129" s="136" t="s">
        <v>35</v>
      </c>
      <c r="L129" s="136" t="s">
        <v>35</v>
      </c>
      <c r="M129" s="136" t="s">
        <v>35</v>
      </c>
      <c r="N129" s="136" t="s">
        <v>35</v>
      </c>
      <c r="O129" s="136" t="s">
        <v>35</v>
      </c>
      <c r="P129" s="136" t="s">
        <v>35</v>
      </c>
      <c r="Q129" s="136" t="s">
        <v>35</v>
      </c>
      <c r="R129" s="136" t="s">
        <v>35</v>
      </c>
      <c r="S129" s="136" t="s">
        <v>35</v>
      </c>
      <c r="T129" s="136" t="s">
        <v>35</v>
      </c>
      <c r="U129" s="136" t="s">
        <v>35</v>
      </c>
      <c r="V129" s="136" t="s">
        <v>35</v>
      </c>
      <c r="W129" s="136" t="s">
        <v>35</v>
      </c>
      <c r="X129" s="136" t="s">
        <v>35</v>
      </c>
      <c r="Y129" s="136" t="s">
        <v>35</v>
      </c>
      <c r="Z129" s="136" t="s">
        <v>35</v>
      </c>
      <c r="AA129" s="136" t="s">
        <v>35</v>
      </c>
      <c r="AB129" s="136" t="s">
        <v>35</v>
      </c>
      <c r="AC129" s="136" t="s">
        <v>35</v>
      </c>
      <c r="AD129" s="136" t="s">
        <v>35</v>
      </c>
      <c r="AE129" s="136" t="s">
        <v>35</v>
      </c>
      <c r="AF129" s="136" t="s">
        <v>35</v>
      </c>
      <c r="AG129" s="136" t="s">
        <v>19</v>
      </c>
      <c r="AH129" s="136" t="s">
        <v>35</v>
      </c>
      <c r="AI129" s="136" t="s">
        <v>35</v>
      </c>
      <c r="AJ129" s="136" t="s">
        <v>35</v>
      </c>
      <c r="AK129" s="136" t="s">
        <v>35</v>
      </c>
      <c r="AL129" s="136" t="s">
        <v>35</v>
      </c>
      <c r="AM129" s="136" t="s">
        <v>35</v>
      </c>
      <c r="AN129" s="136" t="s">
        <v>35</v>
      </c>
      <c r="AO129" s="136" t="s">
        <v>35</v>
      </c>
      <c r="AP129" s="136" t="s">
        <v>35</v>
      </c>
      <c r="AQ129" s="136" t="s">
        <v>35</v>
      </c>
      <c r="AR129" s="136" t="s">
        <v>35</v>
      </c>
      <c r="AS129" s="136" t="s">
        <v>35</v>
      </c>
      <c r="AT129" s="136" t="s">
        <v>35</v>
      </c>
      <c r="AU129" s="136" t="s">
        <v>35</v>
      </c>
      <c r="AV129" s="136" t="s">
        <v>35</v>
      </c>
      <c r="AW129" s="136" t="s">
        <v>35</v>
      </c>
      <c r="AX129" s="136" t="s">
        <v>35</v>
      </c>
      <c r="AY129" s="136" t="s">
        <v>35</v>
      </c>
      <c r="AZ129" s="136" t="s">
        <v>35</v>
      </c>
      <c r="BA129" s="136" t="s">
        <v>35</v>
      </c>
      <c r="BB129" s="136" t="s">
        <v>35</v>
      </c>
      <c r="BC129" s="136" t="s">
        <v>35</v>
      </c>
      <c r="BD129" s="136" t="s">
        <v>35</v>
      </c>
      <c r="BE129" s="136" t="s">
        <v>35</v>
      </c>
      <c r="BF129" s="136" t="s">
        <v>35</v>
      </c>
      <c r="BG129" s="136" t="s">
        <v>35</v>
      </c>
      <c r="BH129" s="136" t="s">
        <v>35</v>
      </c>
      <c r="BI129" s="136" t="s">
        <v>35</v>
      </c>
      <c r="BJ129" s="136" t="s">
        <v>35</v>
      </c>
      <c r="BK129" s="136" t="s">
        <v>35</v>
      </c>
      <c r="BL129" s="136" t="s">
        <v>35</v>
      </c>
      <c r="BM129" s="136" t="s">
        <v>35</v>
      </c>
      <c r="BN129" s="136" t="s">
        <v>35</v>
      </c>
      <c r="BO129" s="136" t="s">
        <v>35</v>
      </c>
      <c r="BP129" s="136" t="s">
        <v>35</v>
      </c>
      <c r="BQ129" s="136" t="s">
        <v>35</v>
      </c>
      <c r="BR129" s="136" t="s">
        <v>35</v>
      </c>
      <c r="BS129" s="136" t="s">
        <v>35</v>
      </c>
      <c r="BT129" s="136" t="s">
        <v>35</v>
      </c>
      <c r="BU129" s="136" t="s">
        <v>35</v>
      </c>
      <c r="BV129" s="136" t="s">
        <v>35</v>
      </c>
      <c r="BW129" s="136" t="s">
        <v>35</v>
      </c>
      <c r="BX129" s="136" t="s">
        <v>35</v>
      </c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</row>
    <row r="130" spans="2:86" ht="14.25">
      <c r="B130" s="145" t="s">
        <v>19</v>
      </c>
      <c r="C130" s="145" t="s">
        <v>19</v>
      </c>
      <c r="D130" s="145" t="s">
        <v>19</v>
      </c>
      <c r="E130" s="145" t="s">
        <v>19</v>
      </c>
      <c r="F130" s="145" t="s">
        <v>19</v>
      </c>
      <c r="G130" s="145" t="s">
        <v>19</v>
      </c>
      <c r="H130" s="145" t="s">
        <v>19</v>
      </c>
      <c r="I130" s="145" t="s">
        <v>19</v>
      </c>
      <c r="J130" s="145" t="s">
        <v>19</v>
      </c>
      <c r="K130" s="145" t="s">
        <v>19</v>
      </c>
      <c r="L130" s="145" t="s">
        <v>19</v>
      </c>
      <c r="M130" s="145" t="s">
        <v>19</v>
      </c>
      <c r="N130" s="145" t="s">
        <v>19</v>
      </c>
      <c r="O130" s="145" t="s">
        <v>19</v>
      </c>
      <c r="P130" s="145" t="s">
        <v>19</v>
      </c>
      <c r="Q130" s="145" t="s">
        <v>19</v>
      </c>
      <c r="R130" s="145" t="s">
        <v>19</v>
      </c>
      <c r="S130" s="145" t="s">
        <v>19</v>
      </c>
      <c r="T130" s="145" t="s">
        <v>19</v>
      </c>
      <c r="U130" s="145" t="s">
        <v>19</v>
      </c>
      <c r="V130" s="145" t="s">
        <v>19</v>
      </c>
      <c r="W130" s="145" t="s">
        <v>19</v>
      </c>
      <c r="X130" s="145" t="s">
        <v>19</v>
      </c>
      <c r="Y130" s="145" t="s">
        <v>19</v>
      </c>
      <c r="Z130" s="145" t="s">
        <v>19</v>
      </c>
      <c r="AA130" s="145" t="s">
        <v>19</v>
      </c>
      <c r="AB130" s="145" t="s">
        <v>19</v>
      </c>
      <c r="AC130" s="145" t="s">
        <v>19</v>
      </c>
      <c r="AD130" s="145" t="s">
        <v>19</v>
      </c>
      <c r="AE130" s="145" t="s">
        <v>19</v>
      </c>
      <c r="AF130" s="145" t="s">
        <v>19</v>
      </c>
      <c r="AG130" s="145" t="s">
        <v>19</v>
      </c>
      <c r="AH130" s="145" t="s">
        <v>19</v>
      </c>
      <c r="AI130" s="145" t="s">
        <v>19</v>
      </c>
      <c r="AJ130" s="145" t="s">
        <v>19</v>
      </c>
      <c r="AK130" s="145" t="s">
        <v>19</v>
      </c>
      <c r="AL130" s="145" t="s">
        <v>19</v>
      </c>
      <c r="AM130" s="145" t="s">
        <v>19</v>
      </c>
      <c r="AN130" s="145" t="s">
        <v>19</v>
      </c>
      <c r="AO130" s="145" t="s">
        <v>19</v>
      </c>
      <c r="AP130" s="145" t="s">
        <v>19</v>
      </c>
      <c r="AQ130" s="145" t="s">
        <v>19</v>
      </c>
      <c r="AR130" s="145" t="s">
        <v>19</v>
      </c>
      <c r="AS130" s="145" t="s">
        <v>19</v>
      </c>
      <c r="AT130" s="145" t="s">
        <v>19</v>
      </c>
      <c r="AU130" s="145" t="s">
        <v>19</v>
      </c>
      <c r="AV130" s="145" t="s">
        <v>19</v>
      </c>
      <c r="AW130" s="145" t="s">
        <v>19</v>
      </c>
      <c r="AX130" s="145" t="s">
        <v>19</v>
      </c>
      <c r="AY130" s="145" t="s">
        <v>19</v>
      </c>
      <c r="AZ130" s="145" t="s">
        <v>19</v>
      </c>
      <c r="BA130" s="145" t="s">
        <v>19</v>
      </c>
      <c r="BB130" s="145" t="s">
        <v>19</v>
      </c>
      <c r="BC130" s="145" t="s">
        <v>19</v>
      </c>
      <c r="BD130" s="145" t="s">
        <v>19</v>
      </c>
      <c r="BE130" s="145" t="s">
        <v>19</v>
      </c>
      <c r="BF130" s="145" t="s">
        <v>19</v>
      </c>
      <c r="BG130" s="145" t="s">
        <v>19</v>
      </c>
      <c r="BH130" s="145" t="s">
        <v>19</v>
      </c>
      <c r="BI130" s="145" t="s">
        <v>19</v>
      </c>
      <c r="BJ130" s="145" t="s">
        <v>19</v>
      </c>
      <c r="BK130" s="145" t="s">
        <v>19</v>
      </c>
      <c r="BL130" s="145" t="s">
        <v>19</v>
      </c>
      <c r="BM130" s="145" t="s">
        <v>19</v>
      </c>
      <c r="BN130" s="145" t="s">
        <v>19</v>
      </c>
      <c r="BO130" s="164" t="str">
        <f>IF(AND(Configurator!$E$5&lt;7,Configurator!$D$5&lt;8),"-806","-80*")</f>
        <v>-806</v>
      </c>
      <c r="BP130" s="145" t="s">
        <v>19</v>
      </c>
      <c r="BQ130" s="164" t="str">
        <f>IF(AND(Configurator!$E$5&lt;7,Configurator!$D$5&lt;8),"-806","-80*")</f>
        <v>-806</v>
      </c>
      <c r="BR130" s="145" t="s">
        <v>19</v>
      </c>
      <c r="BS130" s="164" t="str">
        <f>IF(AND(Configurator!$E$5&lt;7,Configurator!$D$5&lt;8),"-806","-80*")</f>
        <v>-806</v>
      </c>
      <c r="BT130" s="164" t="str">
        <f>IF(AND(Configurator!$E$5&lt;7,Configurator!$D$5&lt;8),"-806","-80*")</f>
        <v>-806</v>
      </c>
      <c r="BU130" s="145" t="s">
        <v>19</v>
      </c>
      <c r="BV130" s="164" t="str">
        <f>IF(AND(Configurator!$E$5&lt;7,Configurator!$D$5&lt;8),"-806","-80*")</f>
        <v>-806</v>
      </c>
      <c r="BW130" s="145" t="s">
        <v>19</v>
      </c>
      <c r="BX130" s="164" t="str">
        <f>IF(AND(Configurator!$E$5&lt;7,Configurator!$D$5&lt;8),"-806","-80*")</f>
        <v>-806</v>
      </c>
      <c r="BY130" s="277"/>
      <c r="BZ130" s="277"/>
      <c r="CA130" s="277"/>
      <c r="CB130" s="277"/>
      <c r="CC130" s="277"/>
      <c r="CD130" s="277"/>
      <c r="CE130" s="277"/>
      <c r="CF130" s="277"/>
      <c r="CG130" s="277"/>
      <c r="CH130" s="277"/>
    </row>
    <row r="131" spans="1:86" ht="15.75">
      <c r="A131" s="238" t="str">
        <f>IF(Configurator!$L$7&gt;"-307","Binary modules for control of switchgear units","Customer Specific Options")</f>
        <v>Binary modules for control of switchgear units</v>
      </c>
      <c r="B131" s="141" t="s">
        <v>59</v>
      </c>
      <c r="C131" s="141" t="s">
        <v>59</v>
      </c>
      <c r="D131" s="141" t="s">
        <v>59</v>
      </c>
      <c r="E131" s="141" t="s">
        <v>59</v>
      </c>
      <c r="F131" s="141" t="s">
        <v>59</v>
      </c>
      <c r="G131" s="141" t="s">
        <v>59</v>
      </c>
      <c r="H131" s="141" t="s">
        <v>59</v>
      </c>
      <c r="I131" s="141" t="s">
        <v>59</v>
      </c>
      <c r="J131" s="141" t="s">
        <v>59</v>
      </c>
      <c r="K131" s="141" t="s">
        <v>59</v>
      </c>
      <c r="L131" s="141" t="s">
        <v>59</v>
      </c>
      <c r="M131" s="141" t="s">
        <v>59</v>
      </c>
      <c r="N131" s="141" t="s">
        <v>59</v>
      </c>
      <c r="O131" s="141" t="s">
        <v>59</v>
      </c>
      <c r="P131" s="141" t="s">
        <v>59</v>
      </c>
      <c r="Q131" s="141" t="s">
        <v>59</v>
      </c>
      <c r="R131" s="141" t="s">
        <v>59</v>
      </c>
      <c r="S131" s="141" t="s">
        <v>59</v>
      </c>
      <c r="T131" s="141" t="s">
        <v>59</v>
      </c>
      <c r="U131" s="141" t="s">
        <v>59</v>
      </c>
      <c r="V131" s="141" t="s">
        <v>59</v>
      </c>
      <c r="W131" s="141" t="s">
        <v>59</v>
      </c>
      <c r="X131" s="141" t="s">
        <v>59</v>
      </c>
      <c r="Y131" s="141" t="s">
        <v>59</v>
      </c>
      <c r="Z131" s="141" t="s">
        <v>59</v>
      </c>
      <c r="AA131" s="141" t="s">
        <v>59</v>
      </c>
      <c r="AB131" s="141" t="s">
        <v>59</v>
      </c>
      <c r="AC131" s="141" t="s">
        <v>59</v>
      </c>
      <c r="AD131" s="141" t="s">
        <v>59</v>
      </c>
      <c r="AE131" s="141" t="s">
        <v>59</v>
      </c>
      <c r="AF131" s="141" t="s">
        <v>59</v>
      </c>
      <c r="AG131" s="141" t="s">
        <v>59</v>
      </c>
      <c r="AH131" s="141" t="s">
        <v>59</v>
      </c>
      <c r="AI131" s="141" t="s">
        <v>59</v>
      </c>
      <c r="AJ131" s="141" t="s">
        <v>59</v>
      </c>
      <c r="AK131" s="141" t="s">
        <v>59</v>
      </c>
      <c r="AL131" s="141" t="s">
        <v>59</v>
      </c>
      <c r="AM131" s="141" t="s">
        <v>59</v>
      </c>
      <c r="AN131" s="141" t="s">
        <v>59</v>
      </c>
      <c r="AO131" s="141" t="s">
        <v>59</v>
      </c>
      <c r="AP131" s="141" t="s">
        <v>59</v>
      </c>
      <c r="AQ131" s="141" t="s">
        <v>59</v>
      </c>
      <c r="AR131" s="141" t="s">
        <v>59</v>
      </c>
      <c r="AS131" s="141" t="s">
        <v>59</v>
      </c>
      <c r="AT131" s="141" t="s">
        <v>59</v>
      </c>
      <c r="AU131" s="141" t="s">
        <v>59</v>
      </c>
      <c r="AV131" s="141" t="s">
        <v>59</v>
      </c>
      <c r="AW131" s="141" t="s">
        <v>59</v>
      </c>
      <c r="AX131" s="141" t="s">
        <v>59</v>
      </c>
      <c r="AY131" s="141" t="s">
        <v>59</v>
      </c>
      <c r="AZ131" s="141" t="s">
        <v>59</v>
      </c>
      <c r="BA131" s="141" t="s">
        <v>59</v>
      </c>
      <c r="BB131" s="141" t="s">
        <v>59</v>
      </c>
      <c r="BC131" s="141" t="s">
        <v>59</v>
      </c>
      <c r="BD131" s="141" t="s">
        <v>59</v>
      </c>
      <c r="BE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F131" s="141" t="s">
        <v>59</v>
      </c>
      <c r="BG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H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I131" s="141" t="s">
        <v>59</v>
      </c>
      <c r="BJ131" s="141" t="s">
        <v>59</v>
      </c>
      <c r="BK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L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M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N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O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P131" s="141" t="s">
        <v>59</v>
      </c>
      <c r="BQ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R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S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T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U131" s="141" t="s">
        <v>59</v>
      </c>
      <c r="BV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W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X131" s="139" t="str">
        <f>IF(AND(Configurator!$L$7&gt;"-307",Configurator!$I$18=0),"One module without high break contacts",IF(AND(Configurator!$L$7&gt;"-307",Configurator!$I$18=5),"Two modules without high break contacts","Standard Version"))</f>
        <v>Two modules without high break contacts</v>
      </c>
      <c r="BY131" s="279"/>
      <c r="BZ131" s="279"/>
      <c r="CA131" s="279"/>
      <c r="CB131" s="279"/>
      <c r="CC131" s="279"/>
      <c r="CD131" s="279"/>
      <c r="CE131" s="279"/>
      <c r="CF131" s="279"/>
      <c r="CG131" s="279"/>
      <c r="CH131" s="279"/>
    </row>
    <row r="132" spans="2:86" ht="14.25">
      <c r="B132" s="136" t="s">
        <v>1073</v>
      </c>
      <c r="C132" s="136" t="s">
        <v>1073</v>
      </c>
      <c r="D132" s="136" t="s">
        <v>1073</v>
      </c>
      <c r="E132" s="136" t="s">
        <v>1073</v>
      </c>
      <c r="F132" s="136" t="s">
        <v>1073</v>
      </c>
      <c r="G132" s="136" t="s">
        <v>1073</v>
      </c>
      <c r="H132" s="136" t="s">
        <v>1073</v>
      </c>
      <c r="I132" s="136" t="s">
        <v>1073</v>
      </c>
      <c r="J132" s="136" t="s">
        <v>1073</v>
      </c>
      <c r="K132" s="136" t="s">
        <v>1073</v>
      </c>
      <c r="L132" s="136" t="s">
        <v>1073</v>
      </c>
      <c r="M132" s="136" t="s">
        <v>1073</v>
      </c>
      <c r="N132" s="136" t="s">
        <v>1073</v>
      </c>
      <c r="O132" s="136" t="s">
        <v>1073</v>
      </c>
      <c r="P132" s="136" t="s">
        <v>1073</v>
      </c>
      <c r="Q132" s="136" t="s">
        <v>1073</v>
      </c>
      <c r="R132" s="136" t="s">
        <v>1073</v>
      </c>
      <c r="S132" s="136" t="s">
        <v>1073</v>
      </c>
      <c r="T132" s="136" t="s">
        <v>1073</v>
      </c>
      <c r="U132" s="136" t="s">
        <v>1073</v>
      </c>
      <c r="V132" s="136" t="s">
        <v>1073</v>
      </c>
      <c r="W132" s="136" t="s">
        <v>1073</v>
      </c>
      <c r="X132" s="136" t="s">
        <v>1073</v>
      </c>
      <c r="Y132" s="136" t="s">
        <v>1073</v>
      </c>
      <c r="Z132" s="136" t="s">
        <v>1073</v>
      </c>
      <c r="AA132" s="136" t="s">
        <v>1073</v>
      </c>
      <c r="AB132" s="136" t="s">
        <v>1073</v>
      </c>
      <c r="AC132" s="136" t="s">
        <v>1073</v>
      </c>
      <c r="AD132" s="136" t="s">
        <v>1073</v>
      </c>
      <c r="AE132" s="136" t="s">
        <v>1073</v>
      </c>
      <c r="AF132" s="136" t="s">
        <v>1073</v>
      </c>
      <c r="AG132" s="136" t="s">
        <v>1073</v>
      </c>
      <c r="AH132" s="136" t="s">
        <v>1073</v>
      </c>
      <c r="AI132" s="136" t="s">
        <v>1073</v>
      </c>
      <c r="AJ132" s="136" t="s">
        <v>1073</v>
      </c>
      <c r="AK132" s="136" t="s">
        <v>1073</v>
      </c>
      <c r="AL132" s="136" t="s">
        <v>1073</v>
      </c>
      <c r="AM132" s="136" t="s">
        <v>1073</v>
      </c>
      <c r="AN132" s="136" t="s">
        <v>1073</v>
      </c>
      <c r="AO132" s="136" t="s">
        <v>1073</v>
      </c>
      <c r="AP132" s="136" t="s">
        <v>1073</v>
      </c>
      <c r="AQ132" s="136" t="s">
        <v>1073</v>
      </c>
      <c r="AR132" s="136" t="s">
        <v>1073</v>
      </c>
      <c r="AS132" s="136" t="s">
        <v>1073</v>
      </c>
      <c r="AT132" s="136" t="s">
        <v>1073</v>
      </c>
      <c r="AU132" s="136" t="s">
        <v>1073</v>
      </c>
      <c r="AV132" s="136" t="s">
        <v>1073</v>
      </c>
      <c r="AW132" s="136" t="s">
        <v>1073</v>
      </c>
      <c r="AX132" s="136" t="s">
        <v>1073</v>
      </c>
      <c r="AY132" s="136" t="s">
        <v>1073</v>
      </c>
      <c r="AZ132" s="136" t="s">
        <v>1073</v>
      </c>
      <c r="BA132" s="136" t="s">
        <v>1073</v>
      </c>
      <c r="BB132" s="136" t="s">
        <v>1073</v>
      </c>
      <c r="BC132" s="136" t="s">
        <v>1073</v>
      </c>
      <c r="BD132" s="136" t="s">
        <v>1073</v>
      </c>
      <c r="BE132" s="139" t="str">
        <f>IF(AND(Configurator!$L$7&gt;"-307",Configurator!$I$18=0),"One module with high break contacts (1-pole)",IF(AND(Configurator!$L$7&gt;"-307",Configurator!$I$18=5),"First module with high break contacts (1-pole), second with normal contacts"," "))</f>
        <v>First module with high break contacts (1-pole), second with normal contacts</v>
      </c>
      <c r="BF132" s="136" t="s">
        <v>1073</v>
      </c>
      <c r="BG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H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I132" s="136" t="s">
        <v>1073</v>
      </c>
      <c r="BJ132" s="136" t="s">
        <v>1073</v>
      </c>
      <c r="BK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L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M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N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O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P132" s="136" t="s">
        <v>1073</v>
      </c>
      <c r="BQ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R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S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T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U132" s="136" t="s">
        <v>1073</v>
      </c>
      <c r="BV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W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X132" s="139" t="str">
        <f>IF(AND(Configurator!$L$7&gt;"-307",Configurator!$I$18=0),"One module with high break contacts",IF(AND(Configurator!$L$7&gt;"-307",Configurator!$I$18=5),"First module with high break contacts, second with normal contacts"," "))</f>
        <v>First module with high break contacts, second with normal contacts</v>
      </c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</row>
    <row r="133" spans="2:86" ht="14.25">
      <c r="B133" s="136" t="s">
        <v>1073</v>
      </c>
      <c r="C133" s="136" t="s">
        <v>1073</v>
      </c>
      <c r="D133" s="136" t="s">
        <v>1073</v>
      </c>
      <c r="E133" s="136" t="s">
        <v>1073</v>
      </c>
      <c r="F133" s="136" t="s">
        <v>1073</v>
      </c>
      <c r="G133" s="136" t="s">
        <v>1073</v>
      </c>
      <c r="H133" s="136" t="s">
        <v>1073</v>
      </c>
      <c r="I133" s="136" t="s">
        <v>1073</v>
      </c>
      <c r="J133" s="136" t="s">
        <v>1073</v>
      </c>
      <c r="K133" s="136" t="s">
        <v>1073</v>
      </c>
      <c r="L133" s="136" t="s">
        <v>1073</v>
      </c>
      <c r="M133" s="136" t="s">
        <v>1073</v>
      </c>
      <c r="N133" s="136" t="s">
        <v>1073</v>
      </c>
      <c r="O133" s="136" t="s">
        <v>1073</v>
      </c>
      <c r="P133" s="136" t="s">
        <v>1073</v>
      </c>
      <c r="Q133" s="136" t="s">
        <v>1073</v>
      </c>
      <c r="R133" s="136" t="s">
        <v>1073</v>
      </c>
      <c r="S133" s="136" t="s">
        <v>1073</v>
      </c>
      <c r="T133" s="136" t="s">
        <v>1073</v>
      </c>
      <c r="U133" s="136" t="s">
        <v>1073</v>
      </c>
      <c r="V133" s="136" t="s">
        <v>1073</v>
      </c>
      <c r="W133" s="136" t="s">
        <v>1073</v>
      </c>
      <c r="X133" s="136" t="s">
        <v>1073</v>
      </c>
      <c r="Y133" s="136" t="s">
        <v>1073</v>
      </c>
      <c r="Z133" s="136" t="s">
        <v>1073</v>
      </c>
      <c r="AA133" s="136" t="s">
        <v>1073</v>
      </c>
      <c r="AB133" s="136" t="s">
        <v>1073</v>
      </c>
      <c r="AC133" s="136" t="s">
        <v>1073</v>
      </c>
      <c r="AD133" s="136" t="s">
        <v>1073</v>
      </c>
      <c r="AE133" s="136" t="s">
        <v>1073</v>
      </c>
      <c r="AF133" s="136" t="s">
        <v>1073</v>
      </c>
      <c r="AG133" s="136" t="s">
        <v>1073</v>
      </c>
      <c r="AH133" s="136" t="s">
        <v>1073</v>
      </c>
      <c r="AI133" s="136" t="s">
        <v>1073</v>
      </c>
      <c r="AJ133" s="136" t="s">
        <v>1073</v>
      </c>
      <c r="AK133" s="136" t="s">
        <v>1073</v>
      </c>
      <c r="AL133" s="136" t="s">
        <v>1073</v>
      </c>
      <c r="AM133" s="136" t="s">
        <v>1073</v>
      </c>
      <c r="AN133" s="136" t="s">
        <v>1073</v>
      </c>
      <c r="AO133" s="136" t="s">
        <v>1073</v>
      </c>
      <c r="AP133" s="136" t="s">
        <v>1073</v>
      </c>
      <c r="AQ133" s="136" t="s">
        <v>1073</v>
      </c>
      <c r="AR133" s="136" t="s">
        <v>1073</v>
      </c>
      <c r="AS133" s="136" t="s">
        <v>1073</v>
      </c>
      <c r="AT133" s="136" t="s">
        <v>1073</v>
      </c>
      <c r="AU133" s="136" t="s">
        <v>1073</v>
      </c>
      <c r="AV133" s="136" t="s">
        <v>1073</v>
      </c>
      <c r="AW133" s="136" t="s">
        <v>1073</v>
      </c>
      <c r="AX133" s="136" t="s">
        <v>1073</v>
      </c>
      <c r="AY133" s="136" t="s">
        <v>1073</v>
      </c>
      <c r="AZ133" s="136" t="s">
        <v>1073</v>
      </c>
      <c r="BA133" s="136" t="s">
        <v>1073</v>
      </c>
      <c r="BB133" s="136" t="s">
        <v>1073</v>
      </c>
      <c r="BC133" s="136" t="s">
        <v>1073</v>
      </c>
      <c r="BD133" s="136" t="s">
        <v>1073</v>
      </c>
      <c r="BE133" s="139" t="str">
        <f>IF(AND(Configurator!$L$7&gt;"-307",Configurator!$I$18=0)," ",IF(AND(Configurator!$L$7&gt;"-307",Configurator!$I$18=5),"Two modules with high break contacts (1-pole)"," "))</f>
        <v>Two modules with high break contacts (1-pole)</v>
      </c>
      <c r="BF133" s="136" t="s">
        <v>1073</v>
      </c>
      <c r="BG133" s="139" t="str">
        <f>IF(AND(Configurator!$L$7&gt;"-307",Configurator!$I$18=0)," ",IF(AND(Configurator!$L$7&gt;"-307",Configurator!$I$18=5),"Two modules with high break contacts"," "))</f>
        <v>Two modules with high break contacts</v>
      </c>
      <c r="BH133" s="139" t="str">
        <f>IF(AND(Configurator!$L$7&gt;"-307",Configurator!$I$18=0)," ",IF(AND(Configurator!$L$7&gt;"-307",Configurator!$I$18=5),"Two modules with high break contacts"," "))</f>
        <v>Two modules with high break contacts</v>
      </c>
      <c r="BI133" s="136" t="s">
        <v>1073</v>
      </c>
      <c r="BJ133" s="136" t="s">
        <v>1073</v>
      </c>
      <c r="BK133" s="139" t="str">
        <f>IF(AND(Configurator!$L$7&gt;"-307",Configurator!$I$18=0)," ",IF(AND(Configurator!$L$7&gt;"-307",Configurator!$I$18=5),"Two modules with high break contacts"," "))</f>
        <v>Two modules with high break contacts</v>
      </c>
      <c r="BL133" s="139" t="str">
        <f>IF(AND(Configurator!$L$7&gt;"-307",Configurator!$I$18=0)," ",IF(AND(Configurator!$L$7&gt;"-307",Configurator!$I$18=5),"Two modules with high break contacts"," "))</f>
        <v>Two modules with high break contacts</v>
      </c>
      <c r="BM133" s="139" t="str">
        <f>IF(AND(Configurator!$L$7&gt;"-307",Configurator!$I$18=0)," ",IF(AND(Configurator!$L$7&gt;"-307",Configurator!$I$18=5),"Two modules with high break contacts"," "))</f>
        <v>Two modules with high break contacts</v>
      </c>
      <c r="BN133" s="139" t="str">
        <f>IF(AND(Configurator!$L$7&gt;"-307",Configurator!$I$18=0)," ",IF(AND(Configurator!$L$7&gt;"-307",Configurator!$I$18=5),"Two modules with high break contacts"," "))</f>
        <v>Two modules with high break contacts</v>
      </c>
      <c r="BO133" s="139" t="str">
        <f>IF(AND(Configurator!$L$7&gt;"-307",Configurator!$I$18=0)," ",IF(AND(Configurator!$L$7&gt;"-307",Configurator!$I$18=5),"Two modules with high break contacts"," "))</f>
        <v>Two modules with high break contacts</v>
      </c>
      <c r="BP133" s="136" t="s">
        <v>1073</v>
      </c>
      <c r="BQ133" s="139" t="str">
        <f>IF(AND(Configurator!$L$7&gt;"-307",Configurator!$I$18=0)," ",IF(AND(Configurator!$L$7&gt;"-307",Configurator!$I$18=5),"Two modules with high break contacts"," "))</f>
        <v>Two modules with high break contacts</v>
      </c>
      <c r="BR133" s="139" t="str">
        <f>IF(AND(Configurator!$L$7&gt;"-307",Configurator!$I$18=0)," ",IF(AND(Configurator!$L$7&gt;"-307",Configurator!$I$18=5),"Two modules with high break contacts"," "))</f>
        <v>Two modules with high break contacts</v>
      </c>
      <c r="BS133" s="139" t="str">
        <f>IF(AND(Configurator!$L$7&gt;"-307",Configurator!$I$18=0)," ",IF(AND(Configurator!$L$7&gt;"-307",Configurator!$I$18=5),"Two modules with high break contacts"," "))</f>
        <v>Two modules with high break contacts</v>
      </c>
      <c r="BT133" s="139" t="str">
        <f>IF(AND(Configurator!$L$7&gt;"-307",Configurator!$I$18=0)," ",IF(AND(Configurator!$L$7&gt;"-307",Configurator!$I$18=5),"Two modules with high break contacts"," "))</f>
        <v>Two modules with high break contacts</v>
      </c>
      <c r="BU133" s="136" t="s">
        <v>1073</v>
      </c>
      <c r="BV133" s="139" t="str">
        <f>IF(AND(Configurator!$L$7&gt;"-307",Configurator!$I$18=0)," ",IF(AND(Configurator!$L$7&gt;"-307",Configurator!$I$18=5),"Two modules with high break contacts"," "))</f>
        <v>Two modules with high break contacts</v>
      </c>
      <c r="BW133" s="139" t="str">
        <f>IF(AND(Configurator!$L$7&gt;"-307",Configurator!$I$18=0)," ",IF(AND(Configurator!$L$7&gt;"-307",Configurator!$I$18=5),"Two modules with high break contacts"," "))</f>
        <v>Two modules with high break contacts</v>
      </c>
      <c r="BX133" s="139" t="str">
        <f>IF(AND(Configurator!$L$7&gt;"-307",Configurator!$I$18=0)," ",IF(AND(Configurator!$L$7&gt;"-307",Configurator!$I$18=5),"Two modules with high break contacts"," "))</f>
        <v>Two modules with high break contacts</v>
      </c>
      <c r="BY133" s="279"/>
      <c r="BZ133" s="279"/>
      <c r="CA133" s="279"/>
      <c r="CB133" s="279"/>
      <c r="CC133" s="279"/>
      <c r="CD133" s="279"/>
      <c r="CE133" s="279"/>
      <c r="CF133" s="279"/>
      <c r="CG133" s="279"/>
      <c r="CH133" s="279"/>
    </row>
    <row r="134" spans="2:86" ht="14.25">
      <c r="B134" s="134">
        <v>0</v>
      </c>
      <c r="C134" s="134">
        <v>0</v>
      </c>
      <c r="D134" s="134">
        <v>0</v>
      </c>
      <c r="E134" s="13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0</v>
      </c>
      <c r="K134" s="134">
        <v>0</v>
      </c>
      <c r="L134" s="134">
        <v>0</v>
      </c>
      <c r="M134" s="134">
        <v>0</v>
      </c>
      <c r="N134" s="134">
        <v>0</v>
      </c>
      <c r="O134" s="134">
        <v>0</v>
      </c>
      <c r="P134" s="134">
        <v>0</v>
      </c>
      <c r="Q134" s="134">
        <v>0</v>
      </c>
      <c r="R134" s="134">
        <v>0</v>
      </c>
      <c r="S134" s="134">
        <v>0</v>
      </c>
      <c r="T134" s="134">
        <v>0</v>
      </c>
      <c r="U134" s="134">
        <v>0</v>
      </c>
      <c r="V134" s="134">
        <v>0</v>
      </c>
      <c r="W134" s="134">
        <v>0</v>
      </c>
      <c r="X134" s="134">
        <v>0</v>
      </c>
      <c r="Y134" s="134">
        <v>0</v>
      </c>
      <c r="Z134" s="134">
        <v>0</v>
      </c>
      <c r="AA134" s="134">
        <v>0</v>
      </c>
      <c r="AB134" s="134">
        <v>0</v>
      </c>
      <c r="AC134" s="134">
        <v>0</v>
      </c>
      <c r="AD134" s="134">
        <v>0</v>
      </c>
      <c r="AE134" s="134">
        <v>0</v>
      </c>
      <c r="AF134" s="134">
        <v>0</v>
      </c>
      <c r="AG134" s="134">
        <v>0</v>
      </c>
      <c r="AH134" s="134">
        <v>0</v>
      </c>
      <c r="AI134" s="134">
        <v>0</v>
      </c>
      <c r="AJ134" s="134">
        <v>0</v>
      </c>
      <c r="AK134" s="134">
        <v>0</v>
      </c>
      <c r="AL134" s="134">
        <v>0</v>
      </c>
      <c r="AM134" s="134">
        <v>0</v>
      </c>
      <c r="AN134" s="134">
        <v>0</v>
      </c>
      <c r="AO134" s="134">
        <v>0</v>
      </c>
      <c r="AP134" s="134">
        <v>0</v>
      </c>
      <c r="AQ134" s="134">
        <v>0</v>
      </c>
      <c r="AR134" s="134">
        <v>0</v>
      </c>
      <c r="AS134" s="134">
        <v>0</v>
      </c>
      <c r="AT134" s="134">
        <v>0</v>
      </c>
      <c r="AU134" s="134">
        <v>0</v>
      </c>
      <c r="AV134" s="134">
        <v>0</v>
      </c>
      <c r="AW134" s="134">
        <v>0</v>
      </c>
      <c r="AX134" s="134">
        <v>0</v>
      </c>
      <c r="AY134" s="134">
        <v>0</v>
      </c>
      <c r="AZ134" s="134">
        <v>0</v>
      </c>
      <c r="BA134" s="134">
        <v>0</v>
      </c>
      <c r="BB134" s="134">
        <v>0</v>
      </c>
      <c r="BC134" s="134">
        <v>0</v>
      </c>
      <c r="BD134" s="134">
        <v>0</v>
      </c>
      <c r="BE134" s="134">
        <v>0</v>
      </c>
      <c r="BF134" s="134">
        <v>0</v>
      </c>
      <c r="BG134" s="134">
        <v>0</v>
      </c>
      <c r="BH134" s="134">
        <v>0</v>
      </c>
      <c r="BI134" s="134">
        <v>0</v>
      </c>
      <c r="BJ134" s="134">
        <v>0</v>
      </c>
      <c r="BK134" s="134">
        <v>0</v>
      </c>
      <c r="BL134" s="134">
        <v>0</v>
      </c>
      <c r="BM134" s="134">
        <v>0</v>
      </c>
      <c r="BN134" s="134">
        <v>0</v>
      </c>
      <c r="BO134" s="134">
        <v>0</v>
      </c>
      <c r="BP134" s="134">
        <v>0</v>
      </c>
      <c r="BQ134" s="134">
        <v>0</v>
      </c>
      <c r="BR134" s="134">
        <v>0</v>
      </c>
      <c r="BS134" s="134">
        <v>0</v>
      </c>
      <c r="BT134" s="134">
        <v>0</v>
      </c>
      <c r="BU134" s="134">
        <v>0</v>
      </c>
      <c r="BV134" s="134">
        <v>0</v>
      </c>
      <c r="BW134" s="134">
        <v>0</v>
      </c>
      <c r="BX134" s="134">
        <v>0</v>
      </c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</row>
    <row r="135" spans="2:86" s="154" customFormat="1" ht="14.25">
      <c r="B135" s="136">
        <v>0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  <c r="Q135" s="136">
        <v>0</v>
      </c>
      <c r="R135" s="136">
        <v>0</v>
      </c>
      <c r="S135" s="136">
        <v>0</v>
      </c>
      <c r="T135" s="136">
        <v>0</v>
      </c>
      <c r="U135" s="136">
        <v>0</v>
      </c>
      <c r="V135" s="136">
        <v>0</v>
      </c>
      <c r="W135" s="136">
        <v>0</v>
      </c>
      <c r="X135" s="136">
        <v>0</v>
      </c>
      <c r="Y135" s="136">
        <v>0</v>
      </c>
      <c r="Z135" s="136">
        <v>0</v>
      </c>
      <c r="AA135" s="136">
        <v>0</v>
      </c>
      <c r="AB135" s="136">
        <v>0</v>
      </c>
      <c r="AC135" s="136">
        <v>0</v>
      </c>
      <c r="AD135" s="136">
        <v>0</v>
      </c>
      <c r="AE135" s="136">
        <v>0</v>
      </c>
      <c r="AF135" s="136">
        <v>0</v>
      </c>
      <c r="AG135" s="136">
        <v>0</v>
      </c>
      <c r="AH135" s="136">
        <v>0</v>
      </c>
      <c r="AI135" s="136">
        <v>0</v>
      </c>
      <c r="AJ135" s="136">
        <v>0</v>
      </c>
      <c r="AK135" s="136">
        <v>0</v>
      </c>
      <c r="AL135" s="136">
        <v>0</v>
      </c>
      <c r="AM135" s="136">
        <v>0</v>
      </c>
      <c r="AN135" s="136">
        <v>0</v>
      </c>
      <c r="AO135" s="136">
        <v>0</v>
      </c>
      <c r="AP135" s="136">
        <v>0</v>
      </c>
      <c r="AQ135" s="136">
        <v>0</v>
      </c>
      <c r="AR135" s="136">
        <v>0</v>
      </c>
      <c r="AS135" s="136">
        <v>0</v>
      </c>
      <c r="AT135" s="136">
        <v>0</v>
      </c>
      <c r="AU135" s="136">
        <v>0</v>
      </c>
      <c r="AV135" s="136">
        <v>0</v>
      </c>
      <c r="AW135" s="136">
        <v>0</v>
      </c>
      <c r="AX135" s="136">
        <v>0</v>
      </c>
      <c r="AY135" s="136">
        <v>0</v>
      </c>
      <c r="AZ135" s="136">
        <v>0</v>
      </c>
      <c r="BA135" s="136">
        <v>0</v>
      </c>
      <c r="BB135" s="136">
        <v>0</v>
      </c>
      <c r="BC135" s="136">
        <v>0</v>
      </c>
      <c r="BD135" s="136">
        <v>0</v>
      </c>
      <c r="BE135" s="139" t="str">
        <f>IF(AND(Configurator!$L$7&gt;"-307",Configurator!$I$18=0),"1",IF(AND(Configurator!$L$7&gt;"-307",Configurator!$I$18=5),"1","0"))</f>
        <v>1</v>
      </c>
      <c r="BF135" s="136">
        <v>0</v>
      </c>
      <c r="BG135" s="139" t="str">
        <f>IF(AND(Configurator!$L$7&gt;"-307",Configurator!$I$18=0),"1",IF(AND(Configurator!$L$7&gt;"-307",Configurator!$I$18=5),"1","0"))</f>
        <v>1</v>
      </c>
      <c r="BH135" s="139" t="str">
        <f>IF(AND(Configurator!$L$7&gt;"-307",Configurator!$I$18=0),"1",IF(AND(Configurator!$L$7&gt;"-307",Configurator!$I$18=5),"1","0"))</f>
        <v>1</v>
      </c>
      <c r="BI135" s="136">
        <v>0</v>
      </c>
      <c r="BJ135" s="136">
        <v>0</v>
      </c>
      <c r="BK135" s="139" t="str">
        <f>IF(AND(Configurator!$L$7&gt;"-307",Configurator!$I$18=0),"1",IF(AND(Configurator!$L$7&gt;"-307",Configurator!$I$18=5),"1","0"))</f>
        <v>1</v>
      </c>
      <c r="BL135" s="139" t="str">
        <f>IF(AND(Configurator!$L$7&gt;"-307",Configurator!$I$18=0),"1",IF(AND(Configurator!$L$7&gt;"-307",Configurator!$I$18=5),"1","0"))</f>
        <v>1</v>
      </c>
      <c r="BM135" s="139" t="str">
        <f>IF(AND(Configurator!$L$7&gt;"-307",Configurator!$I$18=0),"1",IF(AND(Configurator!$L$7&gt;"-307",Configurator!$I$18=5),"1","0"))</f>
        <v>1</v>
      </c>
      <c r="BN135" s="139" t="str">
        <f>IF(AND(Configurator!$L$7&gt;"-307",Configurator!$I$18=0),"1",IF(AND(Configurator!$L$7&gt;"-307",Configurator!$I$18=5),"1","0"))</f>
        <v>1</v>
      </c>
      <c r="BO135" s="139" t="str">
        <f>IF(AND(Configurator!$L$7&gt;"-307",Configurator!$I$18=0),"1",IF(AND(Configurator!$L$7&gt;"-307",Configurator!$I$18=5),"1","0"))</f>
        <v>1</v>
      </c>
      <c r="BP135" s="136">
        <v>0</v>
      </c>
      <c r="BQ135" s="139" t="str">
        <f>IF(AND(Configurator!$L$7&gt;"-307",Configurator!$I$18=0),"1",IF(AND(Configurator!$L$7&gt;"-307",Configurator!$I$18=5),"1","0"))</f>
        <v>1</v>
      </c>
      <c r="BR135" s="139" t="str">
        <f>IF(AND(Configurator!$L$7&gt;"-307",Configurator!$I$18=0),"1",IF(AND(Configurator!$L$7&gt;"-307",Configurator!$I$18=5),"1","0"))</f>
        <v>1</v>
      </c>
      <c r="BS135" s="139" t="str">
        <f>IF(AND(Configurator!$L$7&gt;"-307",Configurator!$I$18=0),"1",IF(AND(Configurator!$L$7&gt;"-307",Configurator!$I$18=5),"1","0"))</f>
        <v>1</v>
      </c>
      <c r="BT135" s="139" t="str">
        <f>IF(AND(Configurator!$L$7&gt;"-307",Configurator!$I$18=0),"1",IF(AND(Configurator!$L$7&gt;"-307",Configurator!$I$18=5),"1","0"))</f>
        <v>1</v>
      </c>
      <c r="BU135" s="136">
        <v>0</v>
      </c>
      <c r="BV135" s="139" t="str">
        <f>IF(AND(Configurator!$L$7&gt;"-307",Configurator!$I$18=0),"1",IF(AND(Configurator!$L$7&gt;"-307",Configurator!$I$18=5),"1","0"))</f>
        <v>1</v>
      </c>
      <c r="BW135" s="139" t="str">
        <f>IF(AND(Configurator!$L$7&gt;"-307",Configurator!$I$18=0),"1",IF(AND(Configurator!$L$7&gt;"-307",Configurator!$I$18=5),"1","0"))</f>
        <v>1</v>
      </c>
      <c r="BX135" s="139" t="str">
        <f>IF(AND(Configurator!$L$7&gt;"-307",Configurator!$I$18=0),"1",IF(AND(Configurator!$L$7&gt;"-307",Configurator!$I$18=5),"1","0"))</f>
        <v>1</v>
      </c>
      <c r="BY135" s="279"/>
      <c r="BZ135" s="279"/>
      <c r="CA135" s="279"/>
      <c r="CB135" s="279"/>
      <c r="CC135" s="279"/>
      <c r="CD135" s="279"/>
      <c r="CE135" s="279"/>
      <c r="CF135" s="279"/>
      <c r="CG135" s="279"/>
      <c r="CH135" s="279"/>
    </row>
    <row r="136" spans="2:86" ht="14.25">
      <c r="B136" s="145">
        <v>0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  <c r="I136" s="145">
        <v>0</v>
      </c>
      <c r="J136" s="145">
        <v>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5">
        <v>0</v>
      </c>
      <c r="R136" s="145">
        <v>0</v>
      </c>
      <c r="S136" s="145">
        <v>0</v>
      </c>
      <c r="T136" s="145">
        <v>0</v>
      </c>
      <c r="U136" s="145">
        <v>0</v>
      </c>
      <c r="V136" s="145">
        <v>0</v>
      </c>
      <c r="W136" s="145">
        <v>0</v>
      </c>
      <c r="X136" s="145">
        <v>0</v>
      </c>
      <c r="Y136" s="145">
        <v>0</v>
      </c>
      <c r="Z136" s="145">
        <v>0</v>
      </c>
      <c r="AA136" s="145">
        <v>0</v>
      </c>
      <c r="AB136" s="145">
        <v>0</v>
      </c>
      <c r="AC136" s="145">
        <v>0</v>
      </c>
      <c r="AD136" s="145">
        <v>0</v>
      </c>
      <c r="AE136" s="145">
        <v>0</v>
      </c>
      <c r="AF136" s="145">
        <v>0</v>
      </c>
      <c r="AG136" s="145">
        <v>0</v>
      </c>
      <c r="AH136" s="145">
        <v>0</v>
      </c>
      <c r="AI136" s="145">
        <v>0</v>
      </c>
      <c r="AJ136" s="145">
        <v>0</v>
      </c>
      <c r="AK136" s="145">
        <v>0</v>
      </c>
      <c r="AL136" s="145">
        <v>0</v>
      </c>
      <c r="AM136" s="145">
        <v>0</v>
      </c>
      <c r="AN136" s="145">
        <v>0</v>
      </c>
      <c r="AO136" s="145">
        <v>0</v>
      </c>
      <c r="AP136" s="145">
        <v>0</v>
      </c>
      <c r="AQ136" s="145">
        <v>0</v>
      </c>
      <c r="AR136" s="145">
        <v>0</v>
      </c>
      <c r="AS136" s="145">
        <v>0</v>
      </c>
      <c r="AT136" s="145">
        <v>0</v>
      </c>
      <c r="AU136" s="145">
        <v>0</v>
      </c>
      <c r="AV136" s="145">
        <v>0</v>
      </c>
      <c r="AW136" s="145">
        <v>0</v>
      </c>
      <c r="AX136" s="145">
        <v>0</v>
      </c>
      <c r="AY136" s="145">
        <v>0</v>
      </c>
      <c r="AZ136" s="145">
        <v>0</v>
      </c>
      <c r="BA136" s="145">
        <v>0</v>
      </c>
      <c r="BB136" s="145">
        <v>0</v>
      </c>
      <c r="BC136" s="145">
        <v>0</v>
      </c>
      <c r="BD136" s="145">
        <v>0</v>
      </c>
      <c r="BE136" s="230" t="str">
        <f>IF(AND(Configurator!$L$7&gt;"-307",Configurator!$I$18=0),"1",IF(AND(Configurator!$L$7&gt;"-307",Configurator!$I$18=5),"2","0"))</f>
        <v>2</v>
      </c>
      <c r="BF136" s="145">
        <v>0</v>
      </c>
      <c r="BG136" s="230" t="str">
        <f>IF(AND(Configurator!$L$7&gt;"-307",Configurator!$I$18=0),"1",IF(AND(Configurator!$L$7&gt;"-307",Configurator!$I$18=5),"2","0"))</f>
        <v>2</v>
      </c>
      <c r="BH136" s="230" t="str">
        <f>IF(AND(Configurator!$L$7&gt;"-307",Configurator!$I$18=0),"1",IF(AND(Configurator!$L$7&gt;"-307",Configurator!$I$18=5),"2","0"))</f>
        <v>2</v>
      </c>
      <c r="BI136" s="145">
        <v>0</v>
      </c>
      <c r="BJ136" s="145">
        <v>0</v>
      </c>
      <c r="BK136" s="230" t="str">
        <f>IF(AND(Configurator!$L$7&gt;"-307",Configurator!$I$18=0),"1",IF(AND(Configurator!$L$7&gt;"-307",Configurator!$I$18=5),"2","0"))</f>
        <v>2</v>
      </c>
      <c r="BL136" s="230" t="str">
        <f>IF(AND(Configurator!$L$7&gt;"-307",Configurator!$I$18=0),"1",IF(AND(Configurator!$L$7&gt;"-307",Configurator!$I$18=5),"2","0"))</f>
        <v>2</v>
      </c>
      <c r="BM136" s="230" t="str">
        <f>IF(AND(Configurator!$L$7&gt;"-307",Configurator!$I$18=0),"1",IF(AND(Configurator!$L$7&gt;"-307",Configurator!$I$18=5),"2","0"))</f>
        <v>2</v>
      </c>
      <c r="BN136" s="230" t="str">
        <f>IF(AND(Configurator!$L$7&gt;"-307",Configurator!$I$18=0),"1",IF(AND(Configurator!$L$7&gt;"-307",Configurator!$I$18=5),"2","0"))</f>
        <v>2</v>
      </c>
      <c r="BO136" s="230" t="str">
        <f>IF(AND(Configurator!$L$7&gt;"-307",Configurator!$I$18=0),"1",IF(AND(Configurator!$L$7&gt;"-307",Configurator!$I$18=5),"2","0"))</f>
        <v>2</v>
      </c>
      <c r="BP136" s="145">
        <v>0</v>
      </c>
      <c r="BQ136" s="230" t="str">
        <f>IF(AND(Configurator!$L$7&gt;"-307",Configurator!$I$18=0),"1",IF(AND(Configurator!$L$7&gt;"-307",Configurator!$I$18=5),"2","0"))</f>
        <v>2</v>
      </c>
      <c r="BR136" s="230" t="str">
        <f>IF(AND(Configurator!$L$7&gt;"-307",Configurator!$I$18=0),"1",IF(AND(Configurator!$L$7&gt;"-307",Configurator!$I$18=5),"2","0"))</f>
        <v>2</v>
      </c>
      <c r="BS136" s="230" t="str">
        <f>IF(AND(Configurator!$L$7&gt;"-307",Configurator!$I$18=0),"1",IF(AND(Configurator!$L$7&gt;"-307",Configurator!$I$18=5),"2","0"))</f>
        <v>2</v>
      </c>
      <c r="BT136" s="230" t="str">
        <f>IF(AND(Configurator!$L$7&gt;"-307",Configurator!$I$18=0),"1",IF(AND(Configurator!$L$7&gt;"-307",Configurator!$I$18=5),"2","0"))</f>
        <v>2</v>
      </c>
      <c r="BU136" s="145">
        <v>0</v>
      </c>
      <c r="BV136" s="230" t="str">
        <f>IF(AND(Configurator!$L$7&gt;"-307",Configurator!$I$18=0),"1",IF(AND(Configurator!$L$7&gt;"-307",Configurator!$I$18=5),"2","0"))</f>
        <v>2</v>
      </c>
      <c r="BW136" s="230" t="str">
        <f>IF(AND(Configurator!$L$7&gt;"-307",Configurator!$I$18=0),"1",IF(AND(Configurator!$L$7&gt;"-307",Configurator!$I$18=5),"2","0"))</f>
        <v>2</v>
      </c>
      <c r="BX136" s="230" t="str">
        <f>IF(AND(Configurator!$L$7&gt;"-307",Configurator!$I$18=0),"1",IF(AND(Configurator!$L$7&gt;"-307",Configurator!$I$18=5),"2","0"))</f>
        <v>2</v>
      </c>
      <c r="BY136" s="279"/>
      <c r="BZ136" s="279"/>
      <c r="CA136" s="279"/>
      <c r="CB136" s="279"/>
      <c r="CC136" s="279"/>
      <c r="CD136" s="279"/>
      <c r="CE136" s="279"/>
      <c r="CF136" s="279"/>
      <c r="CG136" s="279"/>
      <c r="CH136" s="279"/>
    </row>
    <row r="137" spans="1:86" ht="15">
      <c r="A137" s="146" t="s">
        <v>81</v>
      </c>
      <c r="B137" s="134" t="s">
        <v>60</v>
      </c>
      <c r="C137" s="134" t="s">
        <v>60</v>
      </c>
      <c r="D137" s="134" t="s">
        <v>60</v>
      </c>
      <c r="E137" s="134" t="s">
        <v>60</v>
      </c>
      <c r="F137" s="134" t="s">
        <v>60</v>
      </c>
      <c r="G137" s="134" t="s">
        <v>60</v>
      </c>
      <c r="H137" s="134" t="s">
        <v>60</v>
      </c>
      <c r="I137" s="134" t="s">
        <v>60</v>
      </c>
      <c r="J137" s="134" t="s">
        <v>60</v>
      </c>
      <c r="K137" s="134" t="s">
        <v>60</v>
      </c>
      <c r="L137" s="134" t="s">
        <v>60</v>
      </c>
      <c r="M137" s="134" t="s">
        <v>60</v>
      </c>
      <c r="N137" s="134" t="s">
        <v>60</v>
      </c>
      <c r="O137" s="134" t="s">
        <v>60</v>
      </c>
      <c r="P137" s="134" t="s">
        <v>60</v>
      </c>
      <c r="Q137" s="134" t="s">
        <v>60</v>
      </c>
      <c r="R137" s="134" t="s">
        <v>60</v>
      </c>
      <c r="S137" s="134" t="s">
        <v>60</v>
      </c>
      <c r="T137" s="134" t="s">
        <v>60</v>
      </c>
      <c r="U137" s="134" t="s">
        <v>60</v>
      </c>
      <c r="V137" s="134" t="s">
        <v>60</v>
      </c>
      <c r="W137" s="134" t="s">
        <v>60</v>
      </c>
      <c r="X137" s="134" t="s">
        <v>60</v>
      </c>
      <c r="Y137" s="134" t="s">
        <v>60</v>
      </c>
      <c r="Z137" s="134" t="s">
        <v>60</v>
      </c>
      <c r="AA137" s="134" t="s">
        <v>60</v>
      </c>
      <c r="AB137" s="134" t="s">
        <v>60</v>
      </c>
      <c r="AC137" s="134" t="s">
        <v>60</v>
      </c>
      <c r="AD137" s="134" t="s">
        <v>60</v>
      </c>
      <c r="AE137" s="134" t="s">
        <v>60</v>
      </c>
      <c r="AF137" s="134" t="s">
        <v>60</v>
      </c>
      <c r="AG137" s="134" t="s">
        <v>60</v>
      </c>
      <c r="AH137" s="134" t="s">
        <v>60</v>
      </c>
      <c r="AI137" s="134" t="s">
        <v>60</v>
      </c>
      <c r="AJ137" s="134" t="s">
        <v>60</v>
      </c>
      <c r="AK137" s="134" t="s">
        <v>60</v>
      </c>
      <c r="AL137" s="134" t="s">
        <v>60</v>
      </c>
      <c r="AM137" s="134" t="s">
        <v>60</v>
      </c>
      <c r="AN137" s="134" t="s">
        <v>60</v>
      </c>
      <c r="AO137" s="134" t="s">
        <v>60</v>
      </c>
      <c r="AP137" s="134" t="s">
        <v>1059</v>
      </c>
      <c r="AQ137" s="134" t="s">
        <v>1059</v>
      </c>
      <c r="AR137" s="134" t="s">
        <v>1059</v>
      </c>
      <c r="AS137" s="134" t="s">
        <v>1059</v>
      </c>
      <c r="AT137" s="134" t="s">
        <v>1059</v>
      </c>
      <c r="AU137" s="134" t="s">
        <v>1059</v>
      </c>
      <c r="AV137" s="134" t="s">
        <v>1059</v>
      </c>
      <c r="AW137" s="134" t="s">
        <v>1059</v>
      </c>
      <c r="AX137" s="134" t="s">
        <v>1059</v>
      </c>
      <c r="AY137" s="134" t="s">
        <v>1059</v>
      </c>
      <c r="AZ137" s="134" t="s">
        <v>1059</v>
      </c>
      <c r="BA137" s="134" t="s">
        <v>1059</v>
      </c>
      <c r="BB137" s="134" t="s">
        <v>1059</v>
      </c>
      <c r="BC137" s="134" t="s">
        <v>1059</v>
      </c>
      <c r="BD137" s="134" t="s">
        <v>1059</v>
      </c>
      <c r="BE137" s="134" t="s">
        <v>1059</v>
      </c>
      <c r="BF137" s="134" t="s">
        <v>1059</v>
      </c>
      <c r="BG137" s="134" t="s">
        <v>1059</v>
      </c>
      <c r="BH137" s="134" t="s">
        <v>1059</v>
      </c>
      <c r="BI137" s="134" t="s">
        <v>1059</v>
      </c>
      <c r="BJ137" s="134" t="s">
        <v>1059</v>
      </c>
      <c r="BK137" s="134" t="s">
        <v>1059</v>
      </c>
      <c r="BL137" s="134" t="s">
        <v>1059</v>
      </c>
      <c r="BM137" s="134" t="s">
        <v>1059</v>
      </c>
      <c r="BN137" s="134" t="s">
        <v>1059</v>
      </c>
      <c r="BO137" s="134" t="s">
        <v>1059</v>
      </c>
      <c r="BP137" s="134" t="s">
        <v>1059</v>
      </c>
      <c r="BQ137" s="134" t="s">
        <v>1059</v>
      </c>
      <c r="BR137" s="134" t="s">
        <v>1059</v>
      </c>
      <c r="BS137" s="134" t="s">
        <v>1059</v>
      </c>
      <c r="BT137" s="134" t="s">
        <v>1059</v>
      </c>
      <c r="BU137" s="134" t="s">
        <v>1059</v>
      </c>
      <c r="BV137" s="134" t="s">
        <v>1059</v>
      </c>
      <c r="BW137" s="134" t="s">
        <v>1059</v>
      </c>
      <c r="BX137" s="134" t="s">
        <v>1059</v>
      </c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</row>
    <row r="138" spans="2:86" ht="14.25">
      <c r="B138" s="136" t="s">
        <v>1073</v>
      </c>
      <c r="C138" s="136" t="s">
        <v>1073</v>
      </c>
      <c r="D138" s="136" t="s">
        <v>1073</v>
      </c>
      <c r="E138" s="136" t="s">
        <v>1073</v>
      </c>
      <c r="F138" s="136" t="s">
        <v>1073</v>
      </c>
      <c r="G138" s="136" t="s">
        <v>1073</v>
      </c>
      <c r="H138" s="136" t="s">
        <v>1073</v>
      </c>
      <c r="I138" s="136" t="s">
        <v>1073</v>
      </c>
      <c r="J138" s="136" t="s">
        <v>1073</v>
      </c>
      <c r="K138" s="136" t="s">
        <v>1073</v>
      </c>
      <c r="L138" s="136" t="s">
        <v>1073</v>
      </c>
      <c r="M138" s="136" t="s">
        <v>1073</v>
      </c>
      <c r="N138" s="136" t="s">
        <v>1073</v>
      </c>
      <c r="O138" s="134" t="s">
        <v>61</v>
      </c>
      <c r="P138" s="134" t="s">
        <v>61</v>
      </c>
      <c r="Q138" s="134" t="s">
        <v>61</v>
      </c>
      <c r="R138" s="134" t="s">
        <v>61</v>
      </c>
      <c r="S138" s="134" t="s">
        <v>61</v>
      </c>
      <c r="T138" s="134" t="s">
        <v>61</v>
      </c>
      <c r="U138" s="134" t="s">
        <v>61</v>
      </c>
      <c r="V138" s="134" t="s">
        <v>61</v>
      </c>
      <c r="W138" s="134" t="s">
        <v>61</v>
      </c>
      <c r="X138" s="134" t="s">
        <v>61</v>
      </c>
      <c r="Y138" s="134" t="s">
        <v>61</v>
      </c>
      <c r="Z138" s="134" t="s">
        <v>61</v>
      </c>
      <c r="AA138" s="134" t="s">
        <v>61</v>
      </c>
      <c r="AB138" s="134" t="s">
        <v>61</v>
      </c>
      <c r="AC138" s="134" t="s">
        <v>61</v>
      </c>
      <c r="AD138" s="134" t="s">
        <v>61</v>
      </c>
      <c r="AE138" s="134" t="s">
        <v>61</v>
      </c>
      <c r="AF138" s="134" t="s">
        <v>61</v>
      </c>
      <c r="AG138" s="134" t="s">
        <v>61</v>
      </c>
      <c r="AH138" s="134" t="s">
        <v>61</v>
      </c>
      <c r="AI138" s="134" t="s">
        <v>61</v>
      </c>
      <c r="AJ138" s="134" t="s">
        <v>61</v>
      </c>
      <c r="AK138" s="134" t="s">
        <v>61</v>
      </c>
      <c r="AL138" s="134" t="s">
        <v>61</v>
      </c>
      <c r="AM138" s="134" t="s">
        <v>61</v>
      </c>
      <c r="AN138" s="134" t="s">
        <v>61</v>
      </c>
      <c r="AO138" s="134" t="s">
        <v>61</v>
      </c>
      <c r="AP138" s="134" t="s">
        <v>1060</v>
      </c>
      <c r="AQ138" s="134" t="s">
        <v>1060</v>
      </c>
      <c r="AR138" s="134" t="s">
        <v>1060</v>
      </c>
      <c r="AS138" s="134" t="s">
        <v>1060</v>
      </c>
      <c r="AT138" s="134" t="s">
        <v>1060</v>
      </c>
      <c r="AU138" s="134" t="s">
        <v>1060</v>
      </c>
      <c r="AV138" s="134" t="s">
        <v>1060</v>
      </c>
      <c r="AW138" s="134" t="s">
        <v>1060</v>
      </c>
      <c r="AX138" s="134" t="s">
        <v>1060</v>
      </c>
      <c r="AY138" s="134" t="s">
        <v>1060</v>
      </c>
      <c r="AZ138" s="134" t="s">
        <v>1060</v>
      </c>
      <c r="BA138" s="134" t="s">
        <v>1060</v>
      </c>
      <c r="BB138" s="134" t="s">
        <v>1060</v>
      </c>
      <c r="BC138" s="134" t="s">
        <v>1060</v>
      </c>
      <c r="BD138" s="134" t="s">
        <v>1060</v>
      </c>
      <c r="BE138" s="134" t="s">
        <v>1060</v>
      </c>
      <c r="BF138" s="134" t="s">
        <v>1060</v>
      </c>
      <c r="BG138" s="134" t="s">
        <v>1060</v>
      </c>
      <c r="BH138" s="134" t="s">
        <v>1060</v>
      </c>
      <c r="BI138" s="134" t="s">
        <v>1060</v>
      </c>
      <c r="BJ138" s="134" t="s">
        <v>1060</v>
      </c>
      <c r="BK138" s="134" t="s">
        <v>1060</v>
      </c>
      <c r="BL138" s="134" t="s">
        <v>1060</v>
      </c>
      <c r="BM138" s="134" t="s">
        <v>1060</v>
      </c>
      <c r="BN138" s="134" t="s">
        <v>1060</v>
      </c>
      <c r="BO138" s="134" t="s">
        <v>1060</v>
      </c>
      <c r="BP138" s="134" t="s">
        <v>1060</v>
      </c>
      <c r="BQ138" s="134" t="s">
        <v>1060</v>
      </c>
      <c r="BR138" s="134" t="s">
        <v>1060</v>
      </c>
      <c r="BS138" s="134" t="s">
        <v>1060</v>
      </c>
      <c r="BT138" s="134" t="s">
        <v>1060</v>
      </c>
      <c r="BU138" s="134" t="s">
        <v>1060</v>
      </c>
      <c r="BV138" s="134" t="s">
        <v>1060</v>
      </c>
      <c r="BW138" s="134" t="s">
        <v>1060</v>
      </c>
      <c r="BX138" s="134" t="s">
        <v>1060</v>
      </c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</row>
    <row r="139" spans="2:86" ht="14.25">
      <c r="B139" s="136" t="s">
        <v>1073</v>
      </c>
      <c r="C139" s="136" t="s">
        <v>1073</v>
      </c>
      <c r="D139" s="136" t="s">
        <v>1073</v>
      </c>
      <c r="E139" s="136" t="s">
        <v>1073</v>
      </c>
      <c r="F139" s="136" t="s">
        <v>1073</v>
      </c>
      <c r="G139" s="136" t="s">
        <v>1073</v>
      </c>
      <c r="H139" s="136" t="s">
        <v>1073</v>
      </c>
      <c r="I139" s="136" t="s">
        <v>1073</v>
      </c>
      <c r="J139" s="136" t="s">
        <v>1073</v>
      </c>
      <c r="K139" s="136" t="s">
        <v>1073</v>
      </c>
      <c r="L139" s="136" t="s">
        <v>1073</v>
      </c>
      <c r="M139" s="136" t="s">
        <v>1073</v>
      </c>
      <c r="N139" s="136" t="s">
        <v>1073</v>
      </c>
      <c r="O139" s="134" t="s">
        <v>62</v>
      </c>
      <c r="P139" s="134" t="s">
        <v>62</v>
      </c>
      <c r="Q139" s="134" t="s">
        <v>62</v>
      </c>
      <c r="R139" s="134" t="s">
        <v>62</v>
      </c>
      <c r="S139" s="134" t="s">
        <v>62</v>
      </c>
      <c r="T139" s="134" t="s">
        <v>62</v>
      </c>
      <c r="U139" s="134" t="s">
        <v>62</v>
      </c>
      <c r="V139" s="134" t="s">
        <v>62</v>
      </c>
      <c r="W139" s="134" t="s">
        <v>62</v>
      </c>
      <c r="X139" s="134" t="s">
        <v>62</v>
      </c>
      <c r="Y139" s="134" t="s">
        <v>62</v>
      </c>
      <c r="Z139" s="134" t="s">
        <v>62</v>
      </c>
      <c r="AA139" s="134" t="s">
        <v>62</v>
      </c>
      <c r="AB139" s="134" t="s">
        <v>62</v>
      </c>
      <c r="AC139" s="134" t="s">
        <v>62</v>
      </c>
      <c r="AD139" s="134" t="s">
        <v>62</v>
      </c>
      <c r="AE139" s="134" t="s">
        <v>62</v>
      </c>
      <c r="AF139" s="134" t="s">
        <v>62</v>
      </c>
      <c r="AG139" s="134" t="s">
        <v>62</v>
      </c>
      <c r="AH139" s="134" t="s">
        <v>62</v>
      </c>
      <c r="AI139" s="134" t="s">
        <v>62</v>
      </c>
      <c r="AJ139" s="134" t="s">
        <v>62</v>
      </c>
      <c r="AK139" s="134" t="s">
        <v>62</v>
      </c>
      <c r="AL139" s="134" t="s">
        <v>62</v>
      </c>
      <c r="AM139" s="134" t="s">
        <v>62</v>
      </c>
      <c r="AN139" s="134" t="s">
        <v>62</v>
      </c>
      <c r="AO139" s="134" t="s">
        <v>62</v>
      </c>
      <c r="AP139" s="134" t="s">
        <v>1061</v>
      </c>
      <c r="AQ139" s="134" t="s">
        <v>1061</v>
      </c>
      <c r="AR139" s="134" t="s">
        <v>1061</v>
      </c>
      <c r="AS139" s="134" t="s">
        <v>1061</v>
      </c>
      <c r="AT139" s="134" t="s">
        <v>1061</v>
      </c>
      <c r="AU139" s="134" t="s">
        <v>1061</v>
      </c>
      <c r="AV139" s="134" t="s">
        <v>1061</v>
      </c>
      <c r="AW139" s="134" t="s">
        <v>1061</v>
      </c>
      <c r="AX139" s="134" t="s">
        <v>1061</v>
      </c>
      <c r="AY139" s="134" t="s">
        <v>1061</v>
      </c>
      <c r="AZ139" s="134" t="s">
        <v>1061</v>
      </c>
      <c r="BA139" s="134" t="s">
        <v>1061</v>
      </c>
      <c r="BB139" s="134" t="s">
        <v>1061</v>
      </c>
      <c r="BC139" s="134" t="s">
        <v>1061</v>
      </c>
      <c r="BD139" s="134" t="s">
        <v>1061</v>
      </c>
      <c r="BE139" s="134" t="s">
        <v>1061</v>
      </c>
      <c r="BF139" s="134" t="s">
        <v>1061</v>
      </c>
      <c r="BG139" s="134" t="s">
        <v>1061</v>
      </c>
      <c r="BH139" s="134" t="s">
        <v>1061</v>
      </c>
      <c r="BI139" s="134" t="s">
        <v>1061</v>
      </c>
      <c r="BJ139" s="134" t="s">
        <v>1061</v>
      </c>
      <c r="BK139" s="134" t="s">
        <v>1061</v>
      </c>
      <c r="BL139" s="134" t="s">
        <v>1061</v>
      </c>
      <c r="BM139" s="134" t="s">
        <v>1061</v>
      </c>
      <c r="BN139" s="134" t="s">
        <v>1061</v>
      </c>
      <c r="BO139" s="134" t="s">
        <v>1061</v>
      </c>
      <c r="BP139" s="134" t="s">
        <v>1061</v>
      </c>
      <c r="BQ139" s="134" t="s">
        <v>1061</v>
      </c>
      <c r="BR139" s="134" t="s">
        <v>1061</v>
      </c>
      <c r="BS139" s="134" t="s">
        <v>1061</v>
      </c>
      <c r="BT139" s="134" t="s">
        <v>1061</v>
      </c>
      <c r="BU139" s="134" t="s">
        <v>1061</v>
      </c>
      <c r="BV139" s="134" t="s">
        <v>1061</v>
      </c>
      <c r="BW139" s="134" t="s">
        <v>1061</v>
      </c>
      <c r="BX139" s="134" t="s">
        <v>1061</v>
      </c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</row>
    <row r="140" spans="2:86" ht="14.25">
      <c r="B140" s="136" t="s">
        <v>1073</v>
      </c>
      <c r="C140" s="136" t="s">
        <v>1073</v>
      </c>
      <c r="D140" s="136" t="s">
        <v>1073</v>
      </c>
      <c r="E140" s="136" t="s">
        <v>1073</v>
      </c>
      <c r="F140" s="136" t="s">
        <v>1073</v>
      </c>
      <c r="G140" s="136" t="s">
        <v>1073</v>
      </c>
      <c r="H140" s="136" t="s">
        <v>1073</v>
      </c>
      <c r="I140" s="136" t="s">
        <v>1073</v>
      </c>
      <c r="J140" s="136" t="s">
        <v>1073</v>
      </c>
      <c r="K140" s="136" t="s">
        <v>1073</v>
      </c>
      <c r="L140" s="136" t="s">
        <v>1073</v>
      </c>
      <c r="M140" s="136" t="s">
        <v>1073</v>
      </c>
      <c r="N140" s="136" t="s">
        <v>1073</v>
      </c>
      <c r="O140" s="136" t="s">
        <v>1073</v>
      </c>
      <c r="P140" s="136" t="s">
        <v>1073</v>
      </c>
      <c r="Q140" s="136" t="s">
        <v>1073</v>
      </c>
      <c r="R140" s="136" t="s">
        <v>1073</v>
      </c>
      <c r="S140" s="136" t="s">
        <v>1073</v>
      </c>
      <c r="T140" s="136" t="s">
        <v>1073</v>
      </c>
      <c r="U140" s="136" t="s">
        <v>1073</v>
      </c>
      <c r="V140" s="136" t="s">
        <v>1073</v>
      </c>
      <c r="W140" s="136" t="s">
        <v>1073</v>
      </c>
      <c r="X140" s="136" t="s">
        <v>1073</v>
      </c>
      <c r="Y140" s="136" t="s">
        <v>1073</v>
      </c>
      <c r="Z140" s="136" t="s">
        <v>1073</v>
      </c>
      <c r="AA140" s="136" t="s">
        <v>1073</v>
      </c>
      <c r="AB140" s="136" t="s">
        <v>1073</v>
      </c>
      <c r="AC140" s="136" t="s">
        <v>1073</v>
      </c>
      <c r="AD140" s="136" t="s">
        <v>1073</v>
      </c>
      <c r="AE140" s="136" t="s">
        <v>1073</v>
      </c>
      <c r="AF140" s="136" t="s">
        <v>1073</v>
      </c>
      <c r="AG140" s="136" t="s">
        <v>1073</v>
      </c>
      <c r="AH140" s="136" t="s">
        <v>1073</v>
      </c>
      <c r="AI140" s="136" t="s">
        <v>1073</v>
      </c>
      <c r="AJ140" s="136" t="s">
        <v>1073</v>
      </c>
      <c r="AK140" s="136" t="s">
        <v>1073</v>
      </c>
      <c r="AL140" s="136" t="s">
        <v>1073</v>
      </c>
      <c r="AM140" s="136" t="s">
        <v>1073</v>
      </c>
      <c r="AN140" s="136" t="s">
        <v>1073</v>
      </c>
      <c r="AO140" s="136" t="s">
        <v>1073</v>
      </c>
      <c r="AP140" s="139">
        <f>IF(Configurator!$T$5="5","","&gt;73 V (67% of VA,nom = 110 V)")</f>
      </c>
      <c r="AQ140" s="139">
        <f>IF(Configurator!$T$5="5","","&gt;73 V (67% of VA,nom = 110 V)")</f>
      </c>
      <c r="AR140" s="139">
        <f>IF(Configurator!$T$5="5","","&gt;73 V (67% of VA,nom = 110 V)")</f>
      </c>
      <c r="AS140" s="139">
        <f>IF(Configurator!$T$5="5","","&gt;73 V (67% of VA,nom = 110 V)")</f>
      </c>
      <c r="AT140" s="139">
        <f>IF(Configurator!$T$5="5","","&gt;73 V (67% of VA,nom = 110 V)")</f>
      </c>
      <c r="AU140" s="139">
        <f>IF(Configurator!$T$5="5","","&gt;73 V (67% of VA,nom = 110 V)")</f>
      </c>
      <c r="AV140" s="139">
        <f>IF(Configurator!$T$5="5","","&gt;73 V (67% of VA,nom = 110 V)")</f>
      </c>
      <c r="AW140" s="139">
        <f>IF(Configurator!$T$5="5","","&gt;73 V (67% of VA,nom = 110 V)")</f>
      </c>
      <c r="AX140" s="139">
        <f>IF(Configurator!$T$5="5","","&gt;73 V (67% of VA,nom = 110 V)")</f>
      </c>
      <c r="AY140" s="139">
        <f>IF(Configurator!$T$5="5","","&gt;73 V (67% of VA,nom = 110 V)")</f>
      </c>
      <c r="AZ140" s="139">
        <f>IF(Configurator!$T$5="5","","&gt;73 V (67% of VA,nom = 110 V)")</f>
      </c>
      <c r="BA140" s="139">
        <f>IF(Configurator!$T$5="5","","&gt;73 V (67% of VA,nom = 110 V)")</f>
      </c>
      <c r="BB140" s="134" t="s">
        <v>869</v>
      </c>
      <c r="BC140" s="134" t="s">
        <v>869</v>
      </c>
      <c r="BD140" s="134" t="s">
        <v>869</v>
      </c>
      <c r="BE140" s="134" t="s">
        <v>869</v>
      </c>
      <c r="BF140" s="134" t="s">
        <v>869</v>
      </c>
      <c r="BG140" s="134" t="s">
        <v>869</v>
      </c>
      <c r="BH140" s="134" t="s">
        <v>869</v>
      </c>
      <c r="BI140" s="134" t="s">
        <v>869</v>
      </c>
      <c r="BJ140" s="134" t="s">
        <v>869</v>
      </c>
      <c r="BK140" s="134" t="s">
        <v>869</v>
      </c>
      <c r="BL140" s="134" t="s">
        <v>869</v>
      </c>
      <c r="BM140" s="134" t="s">
        <v>869</v>
      </c>
      <c r="BN140" s="134" t="s">
        <v>869</v>
      </c>
      <c r="BO140" s="134" t="s">
        <v>869</v>
      </c>
      <c r="BP140" s="134" t="s">
        <v>869</v>
      </c>
      <c r="BQ140" s="134" t="s">
        <v>869</v>
      </c>
      <c r="BR140" s="134" t="s">
        <v>869</v>
      </c>
      <c r="BS140" s="134" t="s">
        <v>869</v>
      </c>
      <c r="BT140" s="134" t="s">
        <v>869</v>
      </c>
      <c r="BU140" s="134" t="s">
        <v>869</v>
      </c>
      <c r="BV140" s="134" t="s">
        <v>869</v>
      </c>
      <c r="BW140" s="134" t="s">
        <v>869</v>
      </c>
      <c r="BX140" s="134" t="s">
        <v>869</v>
      </c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</row>
    <row r="141" spans="2:86" ht="14.25">
      <c r="B141" s="136" t="s">
        <v>1073</v>
      </c>
      <c r="C141" s="136" t="s">
        <v>1073</v>
      </c>
      <c r="D141" s="136" t="s">
        <v>1073</v>
      </c>
      <c r="E141" s="136" t="s">
        <v>1073</v>
      </c>
      <c r="F141" s="136" t="s">
        <v>1073</v>
      </c>
      <c r="G141" s="136" t="s">
        <v>1073</v>
      </c>
      <c r="H141" s="136" t="s">
        <v>1073</v>
      </c>
      <c r="I141" s="136" t="s">
        <v>1073</v>
      </c>
      <c r="J141" s="136" t="s">
        <v>1073</v>
      </c>
      <c r="K141" s="136" t="s">
        <v>1073</v>
      </c>
      <c r="L141" s="136" t="s">
        <v>1073</v>
      </c>
      <c r="M141" s="136" t="s">
        <v>1073</v>
      </c>
      <c r="N141" s="136" t="s">
        <v>1073</v>
      </c>
      <c r="O141" s="136" t="s">
        <v>1073</v>
      </c>
      <c r="P141" s="136" t="s">
        <v>1073</v>
      </c>
      <c r="Q141" s="136" t="s">
        <v>1073</v>
      </c>
      <c r="R141" s="136" t="s">
        <v>1073</v>
      </c>
      <c r="S141" s="136" t="s">
        <v>1073</v>
      </c>
      <c r="T141" s="136" t="s">
        <v>1073</v>
      </c>
      <c r="U141" s="136" t="s">
        <v>1073</v>
      </c>
      <c r="V141" s="136" t="s">
        <v>1073</v>
      </c>
      <c r="W141" s="136" t="s">
        <v>1073</v>
      </c>
      <c r="X141" s="136" t="s">
        <v>1073</v>
      </c>
      <c r="Y141" s="136" t="s">
        <v>1073</v>
      </c>
      <c r="Z141" s="136" t="s">
        <v>1073</v>
      </c>
      <c r="AA141" s="136" t="s">
        <v>1073</v>
      </c>
      <c r="AB141" s="136" t="s">
        <v>1073</v>
      </c>
      <c r="AC141" s="136" t="s">
        <v>1073</v>
      </c>
      <c r="AD141" s="136" t="s">
        <v>1073</v>
      </c>
      <c r="AE141" s="136" t="s">
        <v>1073</v>
      </c>
      <c r="AF141" s="136" t="s">
        <v>1073</v>
      </c>
      <c r="AG141" s="136" t="s">
        <v>1073</v>
      </c>
      <c r="AH141" s="136" t="s">
        <v>1073</v>
      </c>
      <c r="AI141" s="136" t="s">
        <v>1073</v>
      </c>
      <c r="AJ141" s="136" t="s">
        <v>1073</v>
      </c>
      <c r="AK141" s="136" t="s">
        <v>1073</v>
      </c>
      <c r="AL141" s="136" t="s">
        <v>1073</v>
      </c>
      <c r="AM141" s="136" t="s">
        <v>1073</v>
      </c>
      <c r="AN141" s="136" t="s">
        <v>1073</v>
      </c>
      <c r="AO141" s="136" t="s">
        <v>1073</v>
      </c>
      <c r="AP141" s="139">
        <f>IF(Configurator!$T$5="5","","&gt;146 V (67% of VA,nom = 220 V)")</f>
      </c>
      <c r="AQ141" s="139">
        <f>IF(Configurator!$T$5="5","","&gt;146 V (67% of VA,nom = 220 V)")</f>
      </c>
      <c r="AR141" s="139">
        <f>IF(Configurator!$T$5="5","","&gt;146 V (67% of VA,nom = 220 V)")</f>
      </c>
      <c r="AS141" s="139">
        <f>IF(Configurator!$T$5="5","","&gt;146 V (67% of VA,nom = 220 V)")</f>
      </c>
      <c r="AT141" s="139">
        <f>IF(Configurator!$T$5="5","","&gt;146 V (67% of VA,nom = 220 V)")</f>
      </c>
      <c r="AU141" s="139">
        <f>IF(Configurator!$T$5="5","","&gt;146 V (67% of VA,nom = 220 V)")</f>
      </c>
      <c r="AV141" s="139">
        <f>IF(Configurator!$T$5="5","","&gt;146 V (67% of VA,nom = 220 V)")</f>
      </c>
      <c r="AW141" s="139">
        <f>IF(Configurator!$T$5="5","","&gt;146 V (67% of VA,nom = 220 V)")</f>
      </c>
      <c r="AX141" s="139">
        <f>IF(Configurator!$T$5="5","","&gt;146 V (67% of VA,nom = 220 V)")</f>
      </c>
      <c r="AY141" s="139">
        <f>IF(Configurator!$T$5="5","","&gt;146 V (67% of VA,nom = 220 V)")</f>
      </c>
      <c r="AZ141" s="139">
        <f>IF(Configurator!$T$5="5","","&gt;146 V (67% of VA,nom = 220 V)")</f>
      </c>
      <c r="BA141" s="139">
        <f>IF(Configurator!$T$5="5","","&gt;146 V (67% of VA,nom = 220 V)")</f>
      </c>
      <c r="BB141" s="134" t="s">
        <v>870</v>
      </c>
      <c r="BC141" s="134" t="s">
        <v>870</v>
      </c>
      <c r="BD141" s="134" t="s">
        <v>870</v>
      </c>
      <c r="BE141" s="134" t="s">
        <v>870</v>
      </c>
      <c r="BF141" s="134" t="s">
        <v>870</v>
      </c>
      <c r="BG141" s="134" t="s">
        <v>870</v>
      </c>
      <c r="BH141" s="134" t="s">
        <v>870</v>
      </c>
      <c r="BI141" s="134" t="s">
        <v>870</v>
      </c>
      <c r="BJ141" s="134" t="s">
        <v>870</v>
      </c>
      <c r="BK141" s="134" t="s">
        <v>870</v>
      </c>
      <c r="BL141" s="134" t="s">
        <v>870</v>
      </c>
      <c r="BM141" s="134" t="s">
        <v>870</v>
      </c>
      <c r="BN141" s="134" t="s">
        <v>870</v>
      </c>
      <c r="BO141" s="134" t="s">
        <v>870</v>
      </c>
      <c r="BP141" s="134" t="s">
        <v>870</v>
      </c>
      <c r="BQ141" s="134" t="s">
        <v>870</v>
      </c>
      <c r="BR141" s="134" t="s">
        <v>870</v>
      </c>
      <c r="BS141" s="134" t="s">
        <v>870</v>
      </c>
      <c r="BT141" s="134" t="s">
        <v>870</v>
      </c>
      <c r="BU141" s="134" t="s">
        <v>870</v>
      </c>
      <c r="BV141" s="134" t="s">
        <v>870</v>
      </c>
      <c r="BW141" s="134" t="s">
        <v>870</v>
      </c>
      <c r="BX141" s="134" t="s">
        <v>870</v>
      </c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</row>
    <row r="142" spans="2:86" ht="14.25">
      <c r="B142" s="136" t="s">
        <v>1073</v>
      </c>
      <c r="C142" s="136" t="s">
        <v>1073</v>
      </c>
      <c r="D142" s="136" t="s">
        <v>1073</v>
      </c>
      <c r="E142" s="136" t="s">
        <v>1073</v>
      </c>
      <c r="F142" s="136" t="s">
        <v>1073</v>
      </c>
      <c r="G142" s="136" t="s">
        <v>1073</v>
      </c>
      <c r="H142" s="136" t="s">
        <v>1073</v>
      </c>
      <c r="I142" s="136" t="s">
        <v>1073</v>
      </c>
      <c r="J142" s="136" t="s">
        <v>1073</v>
      </c>
      <c r="K142" s="136" t="s">
        <v>1073</v>
      </c>
      <c r="L142" s="136" t="s">
        <v>1073</v>
      </c>
      <c r="M142" s="136" t="s">
        <v>1073</v>
      </c>
      <c r="N142" s="136" t="s">
        <v>1073</v>
      </c>
      <c r="O142" s="136" t="s">
        <v>1073</v>
      </c>
      <c r="P142" s="136" t="s">
        <v>1073</v>
      </c>
      <c r="Q142" s="136" t="s">
        <v>1073</v>
      </c>
      <c r="R142" s="136" t="s">
        <v>1073</v>
      </c>
      <c r="S142" s="136" t="s">
        <v>1073</v>
      </c>
      <c r="T142" s="136" t="s">
        <v>1073</v>
      </c>
      <c r="U142" s="136" t="s">
        <v>1073</v>
      </c>
      <c r="V142" s="136" t="s">
        <v>1073</v>
      </c>
      <c r="W142" s="136" t="s">
        <v>1073</v>
      </c>
      <c r="X142" s="136" t="s">
        <v>1073</v>
      </c>
      <c r="Y142" s="136" t="s">
        <v>1073</v>
      </c>
      <c r="Z142" s="136" t="s">
        <v>1073</v>
      </c>
      <c r="AA142" s="136" t="s">
        <v>1073</v>
      </c>
      <c r="AB142" s="136" t="s">
        <v>1073</v>
      </c>
      <c r="AC142" s="136" t="s">
        <v>1073</v>
      </c>
      <c r="AD142" s="136" t="s">
        <v>1073</v>
      </c>
      <c r="AE142" s="136" t="s">
        <v>1073</v>
      </c>
      <c r="AF142" s="136" t="s">
        <v>1073</v>
      </c>
      <c r="AG142" s="136" t="s">
        <v>1073</v>
      </c>
      <c r="AH142" s="136" t="s">
        <v>1073</v>
      </c>
      <c r="AI142" s="136" t="s">
        <v>1073</v>
      </c>
      <c r="AJ142" s="136" t="s">
        <v>1073</v>
      </c>
      <c r="AK142" s="136" t="s">
        <v>1073</v>
      </c>
      <c r="AL142" s="136" t="s">
        <v>1073</v>
      </c>
      <c r="AM142" s="136" t="s">
        <v>1073</v>
      </c>
      <c r="AN142" s="136" t="s">
        <v>1073</v>
      </c>
      <c r="AO142" s="136" t="s">
        <v>1073</v>
      </c>
      <c r="AP142" s="136" t="s">
        <v>1073</v>
      </c>
      <c r="AQ142" s="136" t="s">
        <v>1073</v>
      </c>
      <c r="AR142" s="136" t="s">
        <v>1073</v>
      </c>
      <c r="AS142" s="136" t="s">
        <v>1073</v>
      </c>
      <c r="AT142" s="136" t="s">
        <v>1073</v>
      </c>
      <c r="AU142" s="136" t="s">
        <v>1073</v>
      </c>
      <c r="AV142" s="136" t="s">
        <v>1073</v>
      </c>
      <c r="AW142" s="136" t="s">
        <v>1073</v>
      </c>
      <c r="AX142" s="136" t="s">
        <v>1073</v>
      </c>
      <c r="AY142" s="136" t="s">
        <v>1073</v>
      </c>
      <c r="AZ142" s="136" t="s">
        <v>1073</v>
      </c>
      <c r="BA142" s="136" t="s">
        <v>1073</v>
      </c>
      <c r="BB142" s="136" t="s">
        <v>1073</v>
      </c>
      <c r="BC142" s="136" t="s">
        <v>1073</v>
      </c>
      <c r="BD142" s="136" t="s">
        <v>1073</v>
      </c>
      <c r="BE142" s="136" t="s">
        <v>1073</v>
      </c>
      <c r="BF142" s="136" t="s">
        <v>1073</v>
      </c>
      <c r="BG142" s="136" t="s">
        <v>1073</v>
      </c>
      <c r="BH142" s="136" t="s">
        <v>1073</v>
      </c>
      <c r="BI142" s="136" t="s">
        <v>1073</v>
      </c>
      <c r="BJ142" s="136" t="s">
        <v>1073</v>
      </c>
      <c r="BK142" s="136" t="s">
        <v>1073</v>
      </c>
      <c r="BL142" s="136" t="s">
        <v>1073</v>
      </c>
      <c r="BM142" s="136" t="s">
        <v>1073</v>
      </c>
      <c r="BN142" s="136" t="s">
        <v>1073</v>
      </c>
      <c r="BO142" s="136" t="s">
        <v>1073</v>
      </c>
      <c r="BP142" s="136" t="s">
        <v>1073</v>
      </c>
      <c r="BQ142" s="136" t="s">
        <v>1073</v>
      </c>
      <c r="BR142" s="136" t="s">
        <v>1073</v>
      </c>
      <c r="BS142" s="136" t="s">
        <v>1073</v>
      </c>
      <c r="BT142" s="136" t="s">
        <v>1073</v>
      </c>
      <c r="BU142" s="136" t="s">
        <v>1073</v>
      </c>
      <c r="BV142" s="136" t="s">
        <v>1073</v>
      </c>
      <c r="BW142" s="136" t="s">
        <v>1073</v>
      </c>
      <c r="BX142" s="136" t="s">
        <v>1073</v>
      </c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</row>
    <row r="143" spans="2:86" ht="14.25">
      <c r="B143" s="136" t="s">
        <v>1073</v>
      </c>
      <c r="C143" s="136" t="s">
        <v>1073</v>
      </c>
      <c r="D143" s="136" t="s">
        <v>1073</v>
      </c>
      <c r="E143" s="136" t="s">
        <v>1073</v>
      </c>
      <c r="F143" s="136" t="s">
        <v>1073</v>
      </c>
      <c r="G143" s="136" t="s">
        <v>1073</v>
      </c>
      <c r="H143" s="136" t="s">
        <v>1073</v>
      </c>
      <c r="I143" s="136" t="s">
        <v>1073</v>
      </c>
      <c r="J143" s="136" t="s">
        <v>1073</v>
      </c>
      <c r="K143" s="136" t="s">
        <v>1073</v>
      </c>
      <c r="L143" s="136" t="s">
        <v>1073</v>
      </c>
      <c r="M143" s="136" t="s">
        <v>1073</v>
      </c>
      <c r="N143" s="136" t="s">
        <v>1073</v>
      </c>
      <c r="O143" s="136" t="s">
        <v>63</v>
      </c>
      <c r="P143" s="136" t="s">
        <v>63</v>
      </c>
      <c r="Q143" s="136" t="s">
        <v>63</v>
      </c>
      <c r="R143" s="136" t="s">
        <v>63</v>
      </c>
      <c r="S143" s="136" t="s">
        <v>63</v>
      </c>
      <c r="T143" s="136" t="s">
        <v>63</v>
      </c>
      <c r="U143" s="136" t="s">
        <v>63</v>
      </c>
      <c r="V143" s="136" t="s">
        <v>63</v>
      </c>
      <c r="W143" s="136" t="s">
        <v>63</v>
      </c>
      <c r="X143" s="136" t="s">
        <v>63</v>
      </c>
      <c r="Y143" s="136" t="s">
        <v>63</v>
      </c>
      <c r="Z143" s="136" t="s">
        <v>63</v>
      </c>
      <c r="AA143" s="136" t="s">
        <v>63</v>
      </c>
      <c r="AB143" s="136" t="s">
        <v>63</v>
      </c>
      <c r="AC143" s="136" t="s">
        <v>63</v>
      </c>
      <c r="AD143" s="136" t="s">
        <v>63</v>
      </c>
      <c r="AE143" s="136" t="s">
        <v>63</v>
      </c>
      <c r="AF143" s="136" t="s">
        <v>63</v>
      </c>
      <c r="AG143" s="136" t="s">
        <v>63</v>
      </c>
      <c r="AH143" s="136" t="s">
        <v>63</v>
      </c>
      <c r="AI143" s="136" t="s">
        <v>63</v>
      </c>
      <c r="AJ143" s="136" t="s">
        <v>63</v>
      </c>
      <c r="AK143" s="136" t="s">
        <v>63</v>
      </c>
      <c r="AL143" s="136" t="s">
        <v>63</v>
      </c>
      <c r="AM143" s="136" t="s">
        <v>63</v>
      </c>
      <c r="AN143" s="136" t="s">
        <v>63</v>
      </c>
      <c r="AO143" s="136" t="s">
        <v>63</v>
      </c>
      <c r="AP143" s="136" t="s">
        <v>63</v>
      </c>
      <c r="AQ143" s="136" t="s">
        <v>63</v>
      </c>
      <c r="AR143" s="136" t="s">
        <v>63</v>
      </c>
      <c r="AS143" s="136" t="s">
        <v>63</v>
      </c>
      <c r="AT143" s="136" t="s">
        <v>63</v>
      </c>
      <c r="AU143" s="136" t="s">
        <v>63</v>
      </c>
      <c r="AV143" s="136" t="s">
        <v>63</v>
      </c>
      <c r="AW143" s="136" t="s">
        <v>63</v>
      </c>
      <c r="AX143" s="136" t="s">
        <v>63</v>
      </c>
      <c r="AY143" s="136" t="s">
        <v>63</v>
      </c>
      <c r="AZ143" s="136" t="s">
        <v>63</v>
      </c>
      <c r="BA143" s="136" t="s">
        <v>63</v>
      </c>
      <c r="BB143" s="136" t="s">
        <v>63</v>
      </c>
      <c r="BC143" s="136" t="s">
        <v>63</v>
      </c>
      <c r="BD143" s="136" t="s">
        <v>63</v>
      </c>
      <c r="BE143" s="136" t="s">
        <v>63</v>
      </c>
      <c r="BF143" s="136" t="s">
        <v>63</v>
      </c>
      <c r="BG143" s="136" t="s">
        <v>63</v>
      </c>
      <c r="BH143" s="136" t="s">
        <v>63</v>
      </c>
      <c r="BI143" s="136" t="s">
        <v>63</v>
      </c>
      <c r="BJ143" s="136" t="s">
        <v>63</v>
      </c>
      <c r="BK143" s="136" t="s">
        <v>63</v>
      </c>
      <c r="BL143" s="136" t="s">
        <v>63</v>
      </c>
      <c r="BM143" s="136" t="s">
        <v>63</v>
      </c>
      <c r="BN143" s="136" t="s">
        <v>63</v>
      </c>
      <c r="BO143" s="136" t="s">
        <v>63</v>
      </c>
      <c r="BP143" s="136" t="s">
        <v>63</v>
      </c>
      <c r="BQ143" s="136" t="s">
        <v>63</v>
      </c>
      <c r="BR143" s="136" t="s">
        <v>63</v>
      </c>
      <c r="BS143" s="136" t="s">
        <v>63</v>
      </c>
      <c r="BT143" s="136" t="s">
        <v>63</v>
      </c>
      <c r="BU143" s="136" t="s">
        <v>63</v>
      </c>
      <c r="BV143" s="136" t="s">
        <v>63</v>
      </c>
      <c r="BW143" s="136" t="s">
        <v>63</v>
      </c>
      <c r="BX143" s="136" t="s">
        <v>63</v>
      </c>
      <c r="BY143" s="277"/>
      <c r="BZ143" s="277"/>
      <c r="CA143" s="277"/>
      <c r="CB143" s="277"/>
      <c r="CC143" s="277"/>
      <c r="CD143" s="277"/>
      <c r="CE143" s="277"/>
      <c r="CF143" s="277"/>
      <c r="CG143" s="277"/>
      <c r="CH143" s="277"/>
    </row>
    <row r="144" spans="2:86" ht="14.25">
      <c r="B144" s="136" t="s">
        <v>1073</v>
      </c>
      <c r="C144" s="136" t="s">
        <v>1073</v>
      </c>
      <c r="D144" s="136" t="s">
        <v>1073</v>
      </c>
      <c r="E144" s="136" t="s">
        <v>1073</v>
      </c>
      <c r="F144" s="136" t="s">
        <v>1073</v>
      </c>
      <c r="G144" s="136" t="s">
        <v>1073</v>
      </c>
      <c r="H144" s="136" t="s">
        <v>1073</v>
      </c>
      <c r="I144" s="136" t="s">
        <v>1073</v>
      </c>
      <c r="J144" s="136" t="s">
        <v>1073</v>
      </c>
      <c r="K144" s="136" t="s">
        <v>1073</v>
      </c>
      <c r="L144" s="136" t="s">
        <v>1073</v>
      </c>
      <c r="M144" s="136" t="s">
        <v>1073</v>
      </c>
      <c r="N144" s="136" t="s">
        <v>1073</v>
      </c>
      <c r="O144" s="136" t="s">
        <v>64</v>
      </c>
      <c r="P144" s="136" t="s">
        <v>64</v>
      </c>
      <c r="Q144" s="136" t="s">
        <v>64</v>
      </c>
      <c r="R144" s="136" t="s">
        <v>64</v>
      </c>
      <c r="S144" s="136" t="s">
        <v>64</v>
      </c>
      <c r="T144" s="136" t="s">
        <v>64</v>
      </c>
      <c r="U144" s="136" t="s">
        <v>64</v>
      </c>
      <c r="V144" s="136" t="s">
        <v>64</v>
      </c>
      <c r="W144" s="136" t="s">
        <v>64</v>
      </c>
      <c r="X144" s="136" t="s">
        <v>64</v>
      </c>
      <c r="Y144" s="136" t="s">
        <v>64</v>
      </c>
      <c r="Z144" s="136" t="s">
        <v>64</v>
      </c>
      <c r="AA144" s="136" t="s">
        <v>64</v>
      </c>
      <c r="AB144" s="136" t="s">
        <v>64</v>
      </c>
      <c r="AC144" s="136" t="s">
        <v>64</v>
      </c>
      <c r="AD144" s="136" t="s">
        <v>64</v>
      </c>
      <c r="AE144" s="136" t="s">
        <v>64</v>
      </c>
      <c r="AF144" s="136" t="s">
        <v>64</v>
      </c>
      <c r="AG144" s="136" t="s">
        <v>64</v>
      </c>
      <c r="AH144" s="136" t="s">
        <v>64</v>
      </c>
      <c r="AI144" s="136" t="s">
        <v>64</v>
      </c>
      <c r="AJ144" s="136" t="s">
        <v>64</v>
      </c>
      <c r="AK144" s="136" t="s">
        <v>64</v>
      </c>
      <c r="AL144" s="136" t="s">
        <v>64</v>
      </c>
      <c r="AM144" s="136" t="s">
        <v>64</v>
      </c>
      <c r="AN144" s="136" t="s">
        <v>64</v>
      </c>
      <c r="AO144" s="136" t="s">
        <v>64</v>
      </c>
      <c r="AP144" s="136" t="s">
        <v>64</v>
      </c>
      <c r="AQ144" s="136" t="s">
        <v>64</v>
      </c>
      <c r="AR144" s="136" t="s">
        <v>64</v>
      </c>
      <c r="AS144" s="136" t="s">
        <v>64</v>
      </c>
      <c r="AT144" s="136" t="s">
        <v>64</v>
      </c>
      <c r="AU144" s="136" t="s">
        <v>64</v>
      </c>
      <c r="AV144" s="136" t="s">
        <v>64</v>
      </c>
      <c r="AW144" s="136" t="s">
        <v>64</v>
      </c>
      <c r="AX144" s="136" t="s">
        <v>64</v>
      </c>
      <c r="AY144" s="136" t="s">
        <v>64</v>
      </c>
      <c r="AZ144" s="136" t="s">
        <v>64</v>
      </c>
      <c r="BA144" s="136" t="s">
        <v>64</v>
      </c>
      <c r="BB144" s="136" t="s">
        <v>64</v>
      </c>
      <c r="BC144" s="136" t="s">
        <v>64</v>
      </c>
      <c r="BD144" s="136" t="s">
        <v>64</v>
      </c>
      <c r="BE144" s="136" t="s">
        <v>64</v>
      </c>
      <c r="BF144" s="136" t="s">
        <v>64</v>
      </c>
      <c r="BG144" s="136" t="s">
        <v>64</v>
      </c>
      <c r="BH144" s="136" t="s">
        <v>64</v>
      </c>
      <c r="BI144" s="136" t="s">
        <v>64</v>
      </c>
      <c r="BJ144" s="136" t="s">
        <v>64</v>
      </c>
      <c r="BK144" s="136" t="s">
        <v>64</v>
      </c>
      <c r="BL144" s="136" t="s">
        <v>64</v>
      </c>
      <c r="BM144" s="136" t="s">
        <v>64</v>
      </c>
      <c r="BN144" s="136" t="s">
        <v>64</v>
      </c>
      <c r="BO144" s="136" t="s">
        <v>64</v>
      </c>
      <c r="BP144" s="136" t="s">
        <v>64</v>
      </c>
      <c r="BQ144" s="136" t="s">
        <v>64</v>
      </c>
      <c r="BR144" s="136" t="s">
        <v>64</v>
      </c>
      <c r="BS144" s="136" t="s">
        <v>64</v>
      </c>
      <c r="BT144" s="136" t="s">
        <v>64</v>
      </c>
      <c r="BU144" s="136" t="s">
        <v>64</v>
      </c>
      <c r="BV144" s="136" t="s">
        <v>64</v>
      </c>
      <c r="BW144" s="136" t="s">
        <v>64</v>
      </c>
      <c r="BX144" s="136" t="s">
        <v>64</v>
      </c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</row>
    <row r="145" spans="2:86" ht="14.25">
      <c r="B145" s="136" t="s">
        <v>1073</v>
      </c>
      <c r="C145" s="136" t="s">
        <v>1073</v>
      </c>
      <c r="D145" s="136" t="s">
        <v>1073</v>
      </c>
      <c r="E145" s="136" t="s">
        <v>1073</v>
      </c>
      <c r="F145" s="136" t="s">
        <v>1073</v>
      </c>
      <c r="G145" s="136" t="s">
        <v>1073</v>
      </c>
      <c r="H145" s="136" t="s">
        <v>1073</v>
      </c>
      <c r="I145" s="136" t="s">
        <v>1073</v>
      </c>
      <c r="J145" s="136" t="s">
        <v>1073</v>
      </c>
      <c r="K145" s="136" t="s">
        <v>1073</v>
      </c>
      <c r="L145" s="136" t="s">
        <v>1073</v>
      </c>
      <c r="M145" s="136" t="s">
        <v>1073</v>
      </c>
      <c r="N145" s="136" t="s">
        <v>1073</v>
      </c>
      <c r="O145" s="136" t="s">
        <v>1073</v>
      </c>
      <c r="P145" s="136" t="s">
        <v>1073</v>
      </c>
      <c r="Q145" s="136" t="s">
        <v>1073</v>
      </c>
      <c r="R145" s="136" t="s">
        <v>1073</v>
      </c>
      <c r="S145" s="136" t="s">
        <v>1073</v>
      </c>
      <c r="T145" s="136" t="s">
        <v>1073</v>
      </c>
      <c r="U145" s="136" t="s">
        <v>1073</v>
      </c>
      <c r="V145" s="136" t="s">
        <v>1073</v>
      </c>
      <c r="W145" s="136" t="s">
        <v>1073</v>
      </c>
      <c r="X145" s="136" t="s">
        <v>1073</v>
      </c>
      <c r="Y145" s="136" t="s">
        <v>1073</v>
      </c>
      <c r="Z145" s="136" t="s">
        <v>1073</v>
      </c>
      <c r="AA145" s="136" t="s">
        <v>1073</v>
      </c>
      <c r="AB145" s="136" t="s">
        <v>1073</v>
      </c>
      <c r="AC145" s="136" t="s">
        <v>1073</v>
      </c>
      <c r="AD145" s="136" t="s">
        <v>1073</v>
      </c>
      <c r="AE145" s="136" t="s">
        <v>1073</v>
      </c>
      <c r="AF145" s="136" t="s">
        <v>1073</v>
      </c>
      <c r="AG145" s="136" t="s">
        <v>1073</v>
      </c>
      <c r="AH145" s="136" t="s">
        <v>1073</v>
      </c>
      <c r="AI145" s="136" t="s">
        <v>1073</v>
      </c>
      <c r="AJ145" s="136" t="s">
        <v>1073</v>
      </c>
      <c r="AK145" s="136" t="s">
        <v>1073</v>
      </c>
      <c r="AL145" s="136" t="s">
        <v>1073</v>
      </c>
      <c r="AM145" s="136" t="s">
        <v>1073</v>
      </c>
      <c r="AN145" s="136" t="s">
        <v>1073</v>
      </c>
      <c r="AO145" s="136" t="s">
        <v>1073</v>
      </c>
      <c r="AP145" s="139" t="str">
        <f>IF(Configurator!$T$5="5","-462","-463")</f>
        <v>-462</v>
      </c>
      <c r="AQ145" s="139" t="str">
        <f>IF(Configurator!$T$5="5","-462","-463")</f>
        <v>-462</v>
      </c>
      <c r="AR145" s="139" t="str">
        <f>IF(Configurator!$T$5="5","-462","-463")</f>
        <v>-462</v>
      </c>
      <c r="AS145" s="139" t="str">
        <f>IF(Configurator!$T$5="5","-462","-463")</f>
        <v>-462</v>
      </c>
      <c r="AT145" s="139" t="str">
        <f>IF(Configurator!$T$5="5","-462","-463")</f>
        <v>-462</v>
      </c>
      <c r="AU145" s="139" t="str">
        <f>IF(Configurator!$T$5="5","-462","-463")</f>
        <v>-462</v>
      </c>
      <c r="AV145" s="139" t="str">
        <f>IF(Configurator!$T$5="5","-462","-463")</f>
        <v>-462</v>
      </c>
      <c r="AW145" s="139" t="str">
        <f>IF(Configurator!$T$5="5","-462","-463")</f>
        <v>-462</v>
      </c>
      <c r="AX145" s="139" t="str">
        <f>IF(Configurator!$T$5="5","-462","-463")</f>
        <v>-462</v>
      </c>
      <c r="AY145" s="139" t="str">
        <f>IF(Configurator!$T$5="5","-462","-463")</f>
        <v>-462</v>
      </c>
      <c r="AZ145" s="139" t="str">
        <f>IF(Configurator!$T$5="5","-462","-463")</f>
        <v>-462</v>
      </c>
      <c r="BA145" s="139" t="str">
        <f>IF(Configurator!$T$5="5","-462","-463")</f>
        <v>-462</v>
      </c>
      <c r="BB145" s="136" t="s">
        <v>871</v>
      </c>
      <c r="BC145" s="136" t="s">
        <v>871</v>
      </c>
      <c r="BD145" s="136" t="s">
        <v>871</v>
      </c>
      <c r="BE145" s="136" t="s">
        <v>871</v>
      </c>
      <c r="BF145" s="136" t="s">
        <v>871</v>
      </c>
      <c r="BG145" s="136" t="s">
        <v>871</v>
      </c>
      <c r="BH145" s="136" t="s">
        <v>871</v>
      </c>
      <c r="BI145" s="136" t="s">
        <v>871</v>
      </c>
      <c r="BJ145" s="136" t="s">
        <v>871</v>
      </c>
      <c r="BK145" s="136" t="s">
        <v>871</v>
      </c>
      <c r="BL145" s="136" t="s">
        <v>871</v>
      </c>
      <c r="BM145" s="136" t="s">
        <v>871</v>
      </c>
      <c r="BN145" s="136" t="s">
        <v>871</v>
      </c>
      <c r="BO145" s="136" t="s">
        <v>871</v>
      </c>
      <c r="BP145" s="136" t="s">
        <v>871</v>
      </c>
      <c r="BQ145" s="136" t="s">
        <v>871</v>
      </c>
      <c r="BR145" s="136" t="s">
        <v>871</v>
      </c>
      <c r="BS145" s="136" t="s">
        <v>871</v>
      </c>
      <c r="BT145" s="136" t="s">
        <v>871</v>
      </c>
      <c r="BU145" s="136" t="s">
        <v>871</v>
      </c>
      <c r="BV145" s="136" t="s">
        <v>871</v>
      </c>
      <c r="BW145" s="136" t="s">
        <v>871</v>
      </c>
      <c r="BX145" s="136" t="s">
        <v>871</v>
      </c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</row>
    <row r="146" spans="1:86" ht="14.25">
      <c r="A146" s="147"/>
      <c r="B146" s="136" t="s">
        <v>1073</v>
      </c>
      <c r="C146" s="136" t="s">
        <v>1073</v>
      </c>
      <c r="D146" s="136" t="s">
        <v>1073</v>
      </c>
      <c r="E146" s="136" t="s">
        <v>1073</v>
      </c>
      <c r="F146" s="136" t="s">
        <v>1073</v>
      </c>
      <c r="G146" s="136" t="s">
        <v>1073</v>
      </c>
      <c r="H146" s="136" t="s">
        <v>1073</v>
      </c>
      <c r="I146" s="136" t="s">
        <v>1073</v>
      </c>
      <c r="J146" s="136" t="s">
        <v>1073</v>
      </c>
      <c r="K146" s="136" t="s">
        <v>1073</v>
      </c>
      <c r="L146" s="136" t="s">
        <v>1073</v>
      </c>
      <c r="M146" s="136" t="s">
        <v>1073</v>
      </c>
      <c r="N146" s="136" t="s">
        <v>1073</v>
      </c>
      <c r="O146" s="145" t="s">
        <v>1073</v>
      </c>
      <c r="P146" s="145" t="s">
        <v>1073</v>
      </c>
      <c r="Q146" s="145" t="s">
        <v>1073</v>
      </c>
      <c r="R146" s="145" t="s">
        <v>1073</v>
      </c>
      <c r="S146" s="145" t="s">
        <v>1073</v>
      </c>
      <c r="T146" s="145" t="s">
        <v>1073</v>
      </c>
      <c r="U146" s="145" t="s">
        <v>1073</v>
      </c>
      <c r="V146" s="145" t="s">
        <v>1073</v>
      </c>
      <c r="W146" s="145" t="s">
        <v>1073</v>
      </c>
      <c r="X146" s="145" t="s">
        <v>1073</v>
      </c>
      <c r="Y146" s="145" t="s">
        <v>1073</v>
      </c>
      <c r="Z146" s="145" t="s">
        <v>1073</v>
      </c>
      <c r="AA146" s="145" t="s">
        <v>1073</v>
      </c>
      <c r="AB146" s="145" t="s">
        <v>1073</v>
      </c>
      <c r="AC146" s="145" t="s">
        <v>1073</v>
      </c>
      <c r="AD146" s="145" t="s">
        <v>1073</v>
      </c>
      <c r="AE146" s="145" t="s">
        <v>1073</v>
      </c>
      <c r="AF146" s="145" t="s">
        <v>1073</v>
      </c>
      <c r="AG146" s="145" t="s">
        <v>1073</v>
      </c>
      <c r="AH146" s="145" t="s">
        <v>1073</v>
      </c>
      <c r="AI146" s="145" t="s">
        <v>1073</v>
      </c>
      <c r="AJ146" s="145" t="s">
        <v>1073</v>
      </c>
      <c r="AK146" s="145" t="s">
        <v>1073</v>
      </c>
      <c r="AL146" s="145" t="s">
        <v>1073</v>
      </c>
      <c r="AM146" s="145" t="s">
        <v>1073</v>
      </c>
      <c r="AN146" s="145" t="s">
        <v>1073</v>
      </c>
      <c r="AO146" s="145" t="s">
        <v>1073</v>
      </c>
      <c r="AP146" s="230" t="str">
        <f>IF(Configurator!$T$5="5","-462","-464")</f>
        <v>-462</v>
      </c>
      <c r="AQ146" s="230" t="str">
        <f>IF(Configurator!$T$5="5","-462","-464")</f>
        <v>-462</v>
      </c>
      <c r="AR146" s="230" t="str">
        <f>IF(Configurator!$T$5="5","-462","-464")</f>
        <v>-462</v>
      </c>
      <c r="AS146" s="230" t="str">
        <f>IF(Configurator!$T$5="5","-462","-464")</f>
        <v>-462</v>
      </c>
      <c r="AT146" s="230" t="str">
        <f>IF(Configurator!$T$5="5","-462","-464")</f>
        <v>-462</v>
      </c>
      <c r="AU146" s="230" t="str">
        <f>IF(Configurator!$T$5="5","-462","-464")</f>
        <v>-462</v>
      </c>
      <c r="AV146" s="230" t="str">
        <f>IF(Configurator!$T$5="5","-462","-464")</f>
        <v>-462</v>
      </c>
      <c r="AW146" s="230" t="str">
        <f>IF(Configurator!$T$5="5","-462","-464")</f>
        <v>-462</v>
      </c>
      <c r="AX146" s="230" t="str">
        <f>IF(Configurator!$T$5="5","-462","-464")</f>
        <v>-462</v>
      </c>
      <c r="AY146" s="230" t="str">
        <f>IF(Configurator!$T$5="5","-462","-464")</f>
        <v>-462</v>
      </c>
      <c r="AZ146" s="230" t="str">
        <f>IF(Configurator!$T$5="5","-462","-464")</f>
        <v>-462</v>
      </c>
      <c r="BA146" s="230" t="str">
        <f>IF(Configurator!$T$5="5","-462","-464")</f>
        <v>-462</v>
      </c>
      <c r="BB146" s="145" t="s">
        <v>872</v>
      </c>
      <c r="BC146" s="145" t="s">
        <v>872</v>
      </c>
      <c r="BD146" s="145" t="s">
        <v>872</v>
      </c>
      <c r="BE146" s="145" t="s">
        <v>872</v>
      </c>
      <c r="BF146" s="145" t="s">
        <v>872</v>
      </c>
      <c r="BG146" s="145" t="s">
        <v>872</v>
      </c>
      <c r="BH146" s="145" t="s">
        <v>872</v>
      </c>
      <c r="BI146" s="145" t="s">
        <v>872</v>
      </c>
      <c r="BJ146" s="145" t="s">
        <v>872</v>
      </c>
      <c r="BK146" s="145" t="s">
        <v>872</v>
      </c>
      <c r="BL146" s="145" t="s">
        <v>872</v>
      </c>
      <c r="BM146" s="145" t="s">
        <v>872</v>
      </c>
      <c r="BN146" s="145" t="s">
        <v>872</v>
      </c>
      <c r="BO146" s="145" t="s">
        <v>872</v>
      </c>
      <c r="BP146" s="145" t="s">
        <v>872</v>
      </c>
      <c r="BQ146" s="145" t="s">
        <v>872</v>
      </c>
      <c r="BR146" s="145" t="s">
        <v>872</v>
      </c>
      <c r="BS146" s="145" t="s">
        <v>872</v>
      </c>
      <c r="BT146" s="145" t="s">
        <v>872</v>
      </c>
      <c r="BU146" s="145" t="s">
        <v>872</v>
      </c>
      <c r="BV146" s="145" t="s">
        <v>872</v>
      </c>
      <c r="BW146" s="145" t="s">
        <v>872</v>
      </c>
      <c r="BX146" s="145" t="s">
        <v>872</v>
      </c>
      <c r="BY146" s="277"/>
      <c r="BZ146" s="277"/>
      <c r="CA146" s="277"/>
      <c r="CB146" s="277"/>
      <c r="CC146" s="277"/>
      <c r="CD146" s="277"/>
      <c r="CE146" s="277"/>
      <c r="CF146" s="277"/>
      <c r="CG146" s="277"/>
      <c r="CH146" s="277"/>
    </row>
    <row r="147" spans="1:86" ht="15">
      <c r="A147" s="148" t="s">
        <v>82</v>
      </c>
      <c r="B147" s="134" t="s">
        <v>65</v>
      </c>
      <c r="C147" s="134" t="s">
        <v>65</v>
      </c>
      <c r="D147" s="134" t="s">
        <v>65</v>
      </c>
      <c r="E147" s="134" t="s">
        <v>65</v>
      </c>
      <c r="F147" s="134" t="s">
        <v>65</v>
      </c>
      <c r="G147" s="134" t="s">
        <v>65</v>
      </c>
      <c r="H147" s="134" t="s">
        <v>65</v>
      </c>
      <c r="I147" s="134" t="s">
        <v>65</v>
      </c>
      <c r="J147" s="134" t="s">
        <v>65</v>
      </c>
      <c r="K147" s="134" t="s">
        <v>65</v>
      </c>
      <c r="L147" s="134" t="s">
        <v>65</v>
      </c>
      <c r="M147" s="134" t="s">
        <v>65</v>
      </c>
      <c r="N147" s="134" t="s">
        <v>65</v>
      </c>
      <c r="O147" s="134" t="s">
        <v>65</v>
      </c>
      <c r="P147" s="134" t="s">
        <v>65</v>
      </c>
      <c r="Q147" s="134" t="s">
        <v>65</v>
      </c>
      <c r="R147" s="134" t="s">
        <v>65</v>
      </c>
      <c r="S147" s="134" t="s">
        <v>65</v>
      </c>
      <c r="T147" s="134" t="s">
        <v>65</v>
      </c>
      <c r="U147" s="134" t="s">
        <v>65</v>
      </c>
      <c r="V147" s="134" t="s">
        <v>65</v>
      </c>
      <c r="W147" s="134" t="s">
        <v>65</v>
      </c>
      <c r="X147" s="138" t="str">
        <f>IF(Configurator!$D$26&lt;"E","Not Yet Available","None")</f>
        <v>None</v>
      </c>
      <c r="Y147" s="138" t="str">
        <f>IF(Configurator!$D$26&lt;"E","Not Yet Available","None")</f>
        <v>None</v>
      </c>
      <c r="Z147" s="138" t="str">
        <f>IF(Configurator!$D$26&lt;"E","Not Yet Available","None")</f>
        <v>None</v>
      </c>
      <c r="AA147" s="138" t="str">
        <f>IF(Configurator!$D$26&lt;"E","Not Yet Available","None")</f>
        <v>None</v>
      </c>
      <c r="AB147" s="138" t="str">
        <f>IF(Configurator!$D$26&lt;"E","Not Yet Available","None")</f>
        <v>None</v>
      </c>
      <c r="AC147" s="138" t="str">
        <f>IF(Configurator!$D$26&lt;"E","Not Yet Available","None")</f>
        <v>None</v>
      </c>
      <c r="AD147" s="138" t="str">
        <f>IF(Configurator!$D$26&lt;"E","Not Yet Available","None")</f>
        <v>None</v>
      </c>
      <c r="AE147" s="138" t="str">
        <f>IF(Configurator!$D$26&lt;"E","Not Yet Available","None")</f>
        <v>None</v>
      </c>
      <c r="AF147" s="138" t="str">
        <f>IF(Configurator!$D$26&lt;"E","Not Yet Available","None")</f>
        <v>None</v>
      </c>
      <c r="AG147" s="138" t="str">
        <f>IF(Configurator!$D$26&lt;"E","Not Yet Available","None")</f>
        <v>None</v>
      </c>
      <c r="AH147" s="138" t="str">
        <f>IF(Configurator!$D$26&lt;"E","Not Yet Available","None")</f>
        <v>None</v>
      </c>
      <c r="AI147" s="138" t="str">
        <f>IF(Configurator!$D$26&lt;"E","Not Yet Available","None")</f>
        <v>None</v>
      </c>
      <c r="AJ147" s="138" t="str">
        <f>IF(Configurator!$D$26&lt;"E","Not Yet Available","None")</f>
        <v>None</v>
      </c>
      <c r="AK147" s="138" t="str">
        <f>IF(Configurator!$D$26&lt;"E","Not Yet Available","None")</f>
        <v>None</v>
      </c>
      <c r="AL147" s="138" t="str">
        <f>IF(Configurator!$D$26&lt;"E","Not Yet Available","None")</f>
        <v>None</v>
      </c>
      <c r="AM147" s="138" t="str">
        <f>IF(Configurator!$D$26&lt;"E","Not Yet Available","None")</f>
        <v>None</v>
      </c>
      <c r="AN147" s="138" t="str">
        <f>IF(Configurator!$D$26&lt;"E","Not Yet Available","None")</f>
        <v>None</v>
      </c>
      <c r="AO147" s="138" t="str">
        <f>IF(Configurator!$D$26&lt;"E","Not Yet Available","None")</f>
        <v>None</v>
      </c>
      <c r="AP147" s="138" t="str">
        <f>IF(Configurator!$D$26&lt;"E","Not Yet Available","None")</f>
        <v>None</v>
      </c>
      <c r="AQ147" s="138" t="str">
        <f>IF(Configurator!$D$26&lt;"E","Not Yet Available","None")</f>
        <v>None</v>
      </c>
      <c r="AR147" s="138" t="str">
        <f>IF(Configurator!$D$26&lt;"E","Not Yet Available","None")</f>
        <v>None</v>
      </c>
      <c r="AS147" s="138" t="str">
        <f>IF(Configurator!$D$26&lt;"E","Not Yet Available","None")</f>
        <v>None</v>
      </c>
      <c r="AT147" s="138" t="str">
        <f>IF(Configurator!$D$26&lt;"E","Not Yet Available","None")</f>
        <v>None</v>
      </c>
      <c r="AU147" s="138" t="str">
        <f>IF(Configurator!$D$26&lt;"E","Not Yet Available","None")</f>
        <v>None</v>
      </c>
      <c r="AV147" s="138" t="str">
        <f>IF(Configurator!$D$26&lt;"E","Not Yet Available","None")</f>
        <v>None</v>
      </c>
      <c r="AW147" s="138" t="str">
        <f>IF(Configurator!$D$26&lt;"E","Not Yet Available","None")</f>
        <v>None</v>
      </c>
      <c r="AX147" s="138" t="str">
        <f>IF(Configurator!$D$26&lt;"E","Not Yet Available","None")</f>
        <v>None</v>
      </c>
      <c r="AY147" s="138" t="str">
        <f>IF(Configurator!$D$26&lt;"E","Not Yet Available","None")</f>
        <v>None</v>
      </c>
      <c r="AZ147" s="138" t="str">
        <f>IF(Configurator!$D$26&lt;"E","Not Yet Available","None")</f>
        <v>None</v>
      </c>
      <c r="BA147" s="138" t="str">
        <f>IF(Configurator!$D$26&lt;"E","Not Yet Available","None")</f>
        <v>None</v>
      </c>
      <c r="BB147" s="134" t="s">
        <v>1085</v>
      </c>
      <c r="BC147" s="134" t="s">
        <v>1085</v>
      </c>
      <c r="BD147" s="134" t="s">
        <v>1085</v>
      </c>
      <c r="BE147" s="134" t="s">
        <v>1085</v>
      </c>
      <c r="BF147" s="134" t="s">
        <v>1085</v>
      </c>
      <c r="BG147" s="134" t="s">
        <v>1085</v>
      </c>
      <c r="BH147" s="134" t="s">
        <v>1085</v>
      </c>
      <c r="BI147" s="134" t="s">
        <v>1085</v>
      </c>
      <c r="BJ147" s="134" t="s">
        <v>1085</v>
      </c>
      <c r="BK147" s="134" t="s">
        <v>1085</v>
      </c>
      <c r="BL147" s="134" t="s">
        <v>1085</v>
      </c>
      <c r="BM147" s="134" t="s">
        <v>1085</v>
      </c>
      <c r="BN147" s="134" t="s">
        <v>1085</v>
      </c>
      <c r="BO147" s="134" t="s">
        <v>1085</v>
      </c>
      <c r="BP147" s="134" t="s">
        <v>1085</v>
      </c>
      <c r="BQ147" s="134" t="s">
        <v>1085</v>
      </c>
      <c r="BR147" s="134" t="s">
        <v>1085</v>
      </c>
      <c r="BS147" s="134" t="s">
        <v>1085</v>
      </c>
      <c r="BT147" s="134" t="s">
        <v>1085</v>
      </c>
      <c r="BU147" s="134" t="s">
        <v>1085</v>
      </c>
      <c r="BV147" s="134" t="s">
        <v>1085</v>
      </c>
      <c r="BW147" s="134" t="s">
        <v>1085</v>
      </c>
      <c r="BX147" s="134" t="s">
        <v>1085</v>
      </c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</row>
    <row r="148" spans="2:86" ht="14.25">
      <c r="B148" s="136" t="s">
        <v>1073</v>
      </c>
      <c r="C148" s="136" t="s">
        <v>1073</v>
      </c>
      <c r="D148" s="136" t="s">
        <v>1073</v>
      </c>
      <c r="E148" s="136" t="s">
        <v>1073</v>
      </c>
      <c r="F148" s="136" t="s">
        <v>1073</v>
      </c>
      <c r="G148" s="136" t="s">
        <v>1073</v>
      </c>
      <c r="H148" s="136" t="s">
        <v>1073</v>
      </c>
      <c r="I148" s="136" t="s">
        <v>1073</v>
      </c>
      <c r="J148" s="136" t="s">
        <v>1073</v>
      </c>
      <c r="K148" s="136" t="s">
        <v>1073</v>
      </c>
      <c r="L148" s="136" t="s">
        <v>1073</v>
      </c>
      <c r="M148" s="136" t="s">
        <v>1073</v>
      </c>
      <c r="N148" s="136" t="s">
        <v>1073</v>
      </c>
      <c r="O148" s="136" t="s">
        <v>1073</v>
      </c>
      <c r="P148" s="136" t="s">
        <v>1073</v>
      </c>
      <c r="Q148" s="136" t="s">
        <v>1073</v>
      </c>
      <c r="R148" s="136" t="s">
        <v>1073</v>
      </c>
      <c r="S148" s="136" t="s">
        <v>1073</v>
      </c>
      <c r="T148" s="136" t="s">
        <v>1073</v>
      </c>
      <c r="U148" s="136" t="s">
        <v>1073</v>
      </c>
      <c r="V148" s="136" t="s">
        <v>1073</v>
      </c>
      <c r="W148" s="136" t="s">
        <v>1073</v>
      </c>
      <c r="X148" s="138" t="str">
        <f>IF(Configurator!$D$26&lt;"E"," ","For connection to wire, RS485, isolated")</f>
        <v>For connection to wire, RS485, isolated</v>
      </c>
      <c r="Y148" s="138" t="str">
        <f>IF(Configurator!$D$26&lt;"E"," ","For connection to wire, RS485, isolated")</f>
        <v>For connection to wire, RS485, isolated</v>
      </c>
      <c r="Z148" s="138" t="str">
        <f>IF(Configurator!$D$26&lt;"E"," ","For connection to wire, RS485, isolated")</f>
        <v>For connection to wire, RS485, isolated</v>
      </c>
      <c r="AA148" s="138" t="str">
        <f>IF(Configurator!$D$26&lt;"E"," ","For connection to wire, RS485, isolated")</f>
        <v>For connection to wire, RS485, isolated</v>
      </c>
      <c r="AB148" s="138" t="str">
        <f>IF(Configurator!$D$26&lt;"E"," ","For connection to wire, RS485, isolated")</f>
        <v>For connection to wire, RS485, isolated</v>
      </c>
      <c r="AC148" s="138" t="str">
        <f>IF(Configurator!$D$26&lt;"E"," ","For connection to wire, RS485, isolated")</f>
        <v>For connection to wire, RS485, isolated</v>
      </c>
      <c r="AD148" s="138" t="str">
        <f>IF(Configurator!$D$26&lt;"E"," ","For connection to wire, RS485, isolated")</f>
        <v>For connection to wire, RS485, isolated</v>
      </c>
      <c r="AE148" s="138" t="str">
        <f>IF(Configurator!$D$26&lt;"E"," ","For connection to wire, RS485, isolated")</f>
        <v>For connection to wire, RS485, isolated</v>
      </c>
      <c r="AF148" s="138" t="str">
        <f>IF(Configurator!$D$26&lt;"E"," ","For connection to wire, RS485, isolated")</f>
        <v>For connection to wire, RS485, isolated</v>
      </c>
      <c r="AG148" s="138" t="str">
        <f>IF(Configurator!$D$26&lt;"E"," ","For connection to wire, RS485, isolated")</f>
        <v>For connection to wire, RS485, isolated</v>
      </c>
      <c r="AH148" s="138" t="str">
        <f>IF(Configurator!$D$26&lt;"E"," ","For connection to wire, RS485, isolated")</f>
        <v>For connection to wire, RS485, isolated</v>
      </c>
      <c r="AI148" s="138" t="str">
        <f>IF(Configurator!$D$26&lt;"E"," ","For connection to wire, RS485, isolated")</f>
        <v>For connection to wire, RS485, isolated</v>
      </c>
      <c r="AJ148" s="138" t="str">
        <f>IF(Configurator!$D$26&lt;"E"," ","For connection to wire, RS485, isolated")</f>
        <v>For connection to wire, RS485, isolated</v>
      </c>
      <c r="AK148" s="138" t="str">
        <f>IF(Configurator!$D$26&lt;"E"," ","For connection to wire, RS485, isolated")</f>
        <v>For connection to wire, RS485, isolated</v>
      </c>
      <c r="AL148" s="138" t="str">
        <f>IF(Configurator!$D$26&lt;"E"," ","For connection to wire, RS485, isolated")</f>
        <v>For connection to wire, RS485, isolated</v>
      </c>
      <c r="AM148" s="138" t="str">
        <f>IF(Configurator!$D$26&lt;"E"," ","For connection to wire, RS485, isolated")</f>
        <v>For connection to wire, RS485, isolated</v>
      </c>
      <c r="AN148" s="138" t="str">
        <f>IF(Configurator!$D$26&lt;"E"," ","For connection to wire, RS485, isolated")</f>
        <v>For connection to wire, RS485, isolated</v>
      </c>
      <c r="AO148" s="138" t="str">
        <f>IF(Configurator!$D$26&lt;"E"," ","For connection to wire, RS485, isolated")</f>
        <v>For connection to wire, RS485, isolated</v>
      </c>
      <c r="AP148" s="138" t="str">
        <f>IF(Configurator!$D$26&lt;"E"," ","For connection to wire, RS485, isolated")</f>
        <v>For connection to wire, RS485, isolated</v>
      </c>
      <c r="AQ148" s="138" t="str">
        <f>IF(Configurator!$D$26&lt;"E"," ","For connection to wire, RS485, isolated")</f>
        <v>For connection to wire, RS485, isolated</v>
      </c>
      <c r="AR148" s="138" t="str">
        <f>IF(Configurator!$D$26&lt;"E"," ","For connection to wire, RS485, isolated")</f>
        <v>For connection to wire, RS485, isolated</v>
      </c>
      <c r="AS148" s="138" t="str">
        <f>IF(Configurator!$D$26&lt;"E"," ","For connection to wire, RS485, isolated")</f>
        <v>For connection to wire, RS485, isolated</v>
      </c>
      <c r="AT148" s="138" t="str">
        <f>IF(Configurator!$D$26&lt;"E"," ","For connection to wire, RS485, isolated")</f>
        <v>For connection to wire, RS485, isolated</v>
      </c>
      <c r="AU148" s="138" t="str">
        <f>IF(Configurator!$D$26&lt;"E"," ","For connection to wire, RS485, isolated")</f>
        <v>For connection to wire, RS485, isolated</v>
      </c>
      <c r="AV148" s="138" t="str">
        <f>IF(Configurator!$D$26&lt;"E"," ","For connection to wire, RS485, isolated")</f>
        <v>For connection to wire, RS485, isolated</v>
      </c>
      <c r="AW148" s="138" t="str">
        <f>IF(Configurator!$D$26&lt;"E"," ","For connection to wire, RS485, isolated")</f>
        <v>For connection to wire, RS485, isolated</v>
      </c>
      <c r="AX148" s="138" t="str">
        <f>IF(Configurator!$D$26&lt;"E"," ","For connection to wire, RS485, isolated")</f>
        <v>For connection to wire, RS485, isolated</v>
      </c>
      <c r="AY148" s="138" t="str">
        <f>IF(Configurator!$D$26&lt;"E"," ","For connection to wire, RS485, isolated")</f>
        <v>For connection to wire, RS485, isolated</v>
      </c>
      <c r="AZ148" s="138" t="str">
        <f>IF(Configurator!$D$26&lt;"E"," ","For connection to wire, RS485, isolated")</f>
        <v>For connection to wire, RS485, isolated</v>
      </c>
      <c r="BA148" s="138" t="str">
        <f>IF(Configurator!$D$26&lt;"E"," ","For connection to wire, RS485, isolated")</f>
        <v>For connection to wire, RS485, isolated</v>
      </c>
      <c r="BB148" s="134" t="s">
        <v>1210</v>
      </c>
      <c r="BC148" s="134" t="s">
        <v>1210</v>
      </c>
      <c r="BD148" s="134" t="s">
        <v>1210</v>
      </c>
      <c r="BE148" s="134" t="s">
        <v>1210</v>
      </c>
      <c r="BF148" s="134" t="s">
        <v>1210</v>
      </c>
      <c r="BG148" s="134" t="s">
        <v>1210</v>
      </c>
      <c r="BH148" s="134" t="s">
        <v>1210</v>
      </c>
      <c r="BI148" s="134" t="s">
        <v>1210</v>
      </c>
      <c r="BJ148" s="134" t="s">
        <v>1210</v>
      </c>
      <c r="BK148" s="134" t="s">
        <v>1210</v>
      </c>
      <c r="BL148" s="134" t="s">
        <v>1210</v>
      </c>
      <c r="BM148" s="134" t="s">
        <v>1210</v>
      </c>
      <c r="BN148" s="134" t="s">
        <v>1210</v>
      </c>
      <c r="BO148" s="134" t="s">
        <v>1210</v>
      </c>
      <c r="BP148" s="134" t="s">
        <v>1210</v>
      </c>
      <c r="BQ148" s="134" t="s">
        <v>1210</v>
      </c>
      <c r="BR148" s="134" t="s">
        <v>1210</v>
      </c>
      <c r="BS148" s="134" t="s">
        <v>1210</v>
      </c>
      <c r="BT148" s="134" t="s">
        <v>1210</v>
      </c>
      <c r="BU148" s="134" t="s">
        <v>1210</v>
      </c>
      <c r="BV148" s="134" t="s">
        <v>1210</v>
      </c>
      <c r="BW148" s="134" t="s">
        <v>1210</v>
      </c>
      <c r="BX148" s="134" t="s">
        <v>1210</v>
      </c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</row>
    <row r="149" spans="2:86" ht="14.25">
      <c r="B149" s="136" t="s">
        <v>1073</v>
      </c>
      <c r="C149" s="136" t="s">
        <v>1073</v>
      </c>
      <c r="D149" s="136" t="s">
        <v>1073</v>
      </c>
      <c r="E149" s="136" t="s">
        <v>1073</v>
      </c>
      <c r="F149" s="136" t="s">
        <v>1073</v>
      </c>
      <c r="G149" s="136" t="s">
        <v>1073</v>
      </c>
      <c r="H149" s="136" t="s">
        <v>1073</v>
      </c>
      <c r="I149" s="136" t="s">
        <v>1073</v>
      </c>
      <c r="J149" s="136" t="s">
        <v>1073</v>
      </c>
      <c r="K149" s="136" t="s">
        <v>1073</v>
      </c>
      <c r="L149" s="136" t="s">
        <v>1073</v>
      </c>
      <c r="M149" s="136" t="s">
        <v>1073</v>
      </c>
      <c r="N149" s="136" t="s">
        <v>1073</v>
      </c>
      <c r="O149" s="136" t="s">
        <v>1073</v>
      </c>
      <c r="P149" s="136" t="s">
        <v>1073</v>
      </c>
      <c r="Q149" s="136" t="s">
        <v>1073</v>
      </c>
      <c r="R149" s="136" t="s">
        <v>1073</v>
      </c>
      <c r="S149" s="136" t="s">
        <v>1073</v>
      </c>
      <c r="T149" s="136" t="s">
        <v>1073</v>
      </c>
      <c r="U149" s="136" t="s">
        <v>1073</v>
      </c>
      <c r="V149" s="136" t="s">
        <v>1073</v>
      </c>
      <c r="W149" s="136" t="s">
        <v>1073</v>
      </c>
      <c r="X149" s="138" t="str">
        <f>IF(Configurator!$D$26&lt;"E"," ","For connection to plastic fibre, FSMA connector")</f>
        <v>For connection to plastic fibre, FSMA connector</v>
      </c>
      <c r="Y149" s="138" t="str">
        <f>IF(Configurator!$D$26&lt;"E"," ","For connection to plastic fibre, FSMA connector")</f>
        <v>For connection to plastic fibre, FSMA connector</v>
      </c>
      <c r="Z149" s="138" t="str">
        <f>IF(Configurator!$D$26&lt;"E"," ","For connection to plastic fibre, FSMA connector")</f>
        <v>For connection to plastic fibre, FSMA connector</v>
      </c>
      <c r="AA149" s="138" t="str">
        <f>IF(Configurator!$D$26&lt;"E"," ","For connection to plastic fibre, FSMA connector")</f>
        <v>For connection to plastic fibre, FSMA connector</v>
      </c>
      <c r="AB149" s="138" t="str">
        <f>IF(Configurator!$D$26&lt;"E"," ","For connection to plastic fibre, FSMA connector")</f>
        <v>For connection to plastic fibre, FSMA connector</v>
      </c>
      <c r="AC149" s="138" t="str">
        <f>IF(Configurator!$D$26&lt;"E"," ","For connection to plastic fibre, FSMA connector")</f>
        <v>For connection to plastic fibre, FSMA connector</v>
      </c>
      <c r="AD149" s="138" t="str">
        <f>IF(Configurator!$D$26&lt;"E"," ","For connection to plastic fibre, FSMA connector")</f>
        <v>For connection to plastic fibre, FSMA connector</v>
      </c>
      <c r="AE149" s="138" t="str">
        <f>IF(Configurator!$D$26&lt;"E"," ","For connection to plastic fibre, FSMA connector")</f>
        <v>For connection to plastic fibre, FSMA connector</v>
      </c>
      <c r="AF149" s="138" t="str">
        <f>IF(Configurator!$D$26&lt;"E"," ","For connection to plastic fibre, FSMA connector")</f>
        <v>For connection to plastic fibre, FSMA connector</v>
      </c>
      <c r="AG149" s="138" t="str">
        <f>IF(Configurator!$D$26&lt;"E"," ","For connection to plastic fibre, FSMA connector")</f>
        <v>For connection to plastic fibre, FSMA connector</v>
      </c>
      <c r="AH149" s="138" t="str">
        <f>IF(Configurator!$D$26&lt;"E"," ","For connection to plastic fibre, FSMA connector")</f>
        <v>For connection to plastic fibre, FSMA connector</v>
      </c>
      <c r="AI149" s="138" t="str">
        <f>IF(Configurator!$D$26&lt;"E"," ","For connection to plastic fibre, FSMA connector")</f>
        <v>For connection to plastic fibre, FSMA connector</v>
      </c>
      <c r="AJ149" s="138" t="str">
        <f>IF(Configurator!$D$26&lt;"E"," ","For connection to plastic fibre, FSMA connector")</f>
        <v>For connection to plastic fibre, FSMA connector</v>
      </c>
      <c r="AK149" s="138" t="str">
        <f>IF(Configurator!$D$26&lt;"E"," ","For connection to plastic fibre, FSMA connector")</f>
        <v>For connection to plastic fibre, FSMA connector</v>
      </c>
      <c r="AL149" s="138" t="str">
        <f>IF(Configurator!$D$26&lt;"E"," ","For connection to plastic fibre, FSMA connector")</f>
        <v>For connection to plastic fibre, FSMA connector</v>
      </c>
      <c r="AM149" s="138" t="str">
        <f>IF(Configurator!$D$26&lt;"E"," ","For connection to plastic fibre, FSMA connector")</f>
        <v>For connection to plastic fibre, FSMA connector</v>
      </c>
      <c r="AN149" s="138" t="str">
        <f>IF(Configurator!$D$26&lt;"E"," ","For connection to plastic fibre, FSMA connector")</f>
        <v>For connection to plastic fibre, FSMA connector</v>
      </c>
      <c r="AO149" s="138" t="str">
        <f>IF(Configurator!$D$26&lt;"E"," ","For connection to plastic fibre, FSMA connector")</f>
        <v>For connection to plastic fibre, FSMA connector</v>
      </c>
      <c r="AP149" s="138" t="str">
        <f>IF(Configurator!$D$26&lt;"E"," ","For connection to plastic fibre, FSMA connector")</f>
        <v>For connection to plastic fibre, FSMA connector</v>
      </c>
      <c r="AQ149" s="138" t="str">
        <f>IF(Configurator!$D$26&lt;"E"," ","For connection to plastic fibre, FSMA connector")</f>
        <v>For connection to plastic fibre, FSMA connector</v>
      </c>
      <c r="AR149" s="138" t="str">
        <f>IF(Configurator!$D$26&lt;"E"," ","For connection to plastic fibre, FSMA connector")</f>
        <v>For connection to plastic fibre, FSMA connector</v>
      </c>
      <c r="AS149" s="138" t="str">
        <f>IF(Configurator!$D$26&lt;"E"," ","For connection to plastic fibre, FSMA connector")</f>
        <v>For connection to plastic fibre, FSMA connector</v>
      </c>
      <c r="AT149" s="138" t="str">
        <f>IF(Configurator!$D$26&lt;"E"," ","For connection to plastic fibre, FSMA connector")</f>
        <v>For connection to plastic fibre, FSMA connector</v>
      </c>
      <c r="AU149" s="138" t="str">
        <f>IF(Configurator!$D$26&lt;"E"," ","For connection to plastic fibre, FSMA connector")</f>
        <v>For connection to plastic fibre, FSMA connector</v>
      </c>
      <c r="AV149" s="138" t="str">
        <f>IF(Configurator!$D$26&lt;"E"," ","For connection to plastic fibre, FSMA connector")</f>
        <v>For connection to plastic fibre, FSMA connector</v>
      </c>
      <c r="AW149" s="138" t="str">
        <f>IF(Configurator!$D$26&lt;"E"," ","For connection to plastic fibre, FSMA connector")</f>
        <v>For connection to plastic fibre, FSMA connector</v>
      </c>
      <c r="AX149" s="138" t="str">
        <f>IF(Configurator!$D$26&lt;"E"," ","For connection to plastic fibre, FSMA connector")</f>
        <v>For connection to plastic fibre, FSMA connector</v>
      </c>
      <c r="AY149" s="138" t="str">
        <f>IF(Configurator!$D$26&lt;"E"," ","For connection to plastic fibre, FSMA connector")</f>
        <v>For connection to plastic fibre, FSMA connector</v>
      </c>
      <c r="AZ149" s="138" t="str">
        <f>IF(Configurator!$D$26&lt;"E"," ","For connection to plastic fibre, FSMA connector")</f>
        <v>For connection to plastic fibre, FSMA connector</v>
      </c>
      <c r="BA149" s="138" t="str">
        <f>IF(Configurator!$D$26&lt;"E"," ","For connection to plastic fibre, FSMA connector")</f>
        <v>For connection to plastic fibre, FSMA connector</v>
      </c>
      <c r="BB149" s="134" t="s">
        <v>1211</v>
      </c>
      <c r="BC149" s="134" t="s">
        <v>1211</v>
      </c>
      <c r="BD149" s="134" t="s">
        <v>1211</v>
      </c>
      <c r="BE149" s="134" t="s">
        <v>1211</v>
      </c>
      <c r="BF149" s="134" t="s">
        <v>1211</v>
      </c>
      <c r="BG149" s="134" t="s">
        <v>1211</v>
      </c>
      <c r="BH149" s="134" t="s">
        <v>1211</v>
      </c>
      <c r="BI149" s="134" t="s">
        <v>1211</v>
      </c>
      <c r="BJ149" s="134" t="s">
        <v>1211</v>
      </c>
      <c r="BK149" s="134" t="s">
        <v>1211</v>
      </c>
      <c r="BL149" s="134" t="s">
        <v>1211</v>
      </c>
      <c r="BM149" s="134" t="s">
        <v>1211</v>
      </c>
      <c r="BN149" s="134" t="s">
        <v>1211</v>
      </c>
      <c r="BO149" s="134" t="s">
        <v>1211</v>
      </c>
      <c r="BP149" s="134" t="s">
        <v>1211</v>
      </c>
      <c r="BQ149" s="134" t="s">
        <v>1211</v>
      </c>
      <c r="BR149" s="134" t="s">
        <v>1211</v>
      </c>
      <c r="BS149" s="134" t="s">
        <v>1211</v>
      </c>
      <c r="BT149" s="134" t="s">
        <v>1211</v>
      </c>
      <c r="BU149" s="134" t="s">
        <v>1211</v>
      </c>
      <c r="BV149" s="134" t="s">
        <v>1211</v>
      </c>
      <c r="BW149" s="134" t="s">
        <v>1211</v>
      </c>
      <c r="BX149" s="134" t="s">
        <v>1211</v>
      </c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</row>
    <row r="150" spans="2:86" ht="14.25">
      <c r="B150" s="136" t="s">
        <v>1073</v>
      </c>
      <c r="C150" s="136" t="s">
        <v>1073</v>
      </c>
      <c r="D150" s="136" t="s">
        <v>1073</v>
      </c>
      <c r="E150" s="136" t="s">
        <v>1073</v>
      </c>
      <c r="F150" s="136" t="s">
        <v>1073</v>
      </c>
      <c r="G150" s="136" t="s">
        <v>1073</v>
      </c>
      <c r="H150" s="136" t="s">
        <v>1073</v>
      </c>
      <c r="I150" s="136" t="s">
        <v>1073</v>
      </c>
      <c r="J150" s="136" t="s">
        <v>1073</v>
      </c>
      <c r="K150" s="136" t="s">
        <v>1073</v>
      </c>
      <c r="L150" s="136" t="s">
        <v>1073</v>
      </c>
      <c r="M150" s="136" t="s">
        <v>1073</v>
      </c>
      <c r="N150" s="136" t="s">
        <v>1073</v>
      </c>
      <c r="O150" s="136" t="s">
        <v>1073</v>
      </c>
      <c r="P150" s="136" t="s">
        <v>1073</v>
      </c>
      <c r="Q150" s="136" t="s">
        <v>1073</v>
      </c>
      <c r="R150" s="136" t="s">
        <v>1073</v>
      </c>
      <c r="S150" s="136" t="s">
        <v>1073</v>
      </c>
      <c r="T150" s="136" t="s">
        <v>1073</v>
      </c>
      <c r="U150" s="136" t="s">
        <v>1073</v>
      </c>
      <c r="V150" s="136" t="s">
        <v>1073</v>
      </c>
      <c r="W150" s="136" t="s">
        <v>1073</v>
      </c>
      <c r="X150" s="138" t="str">
        <f>IF(Configurator!$D$26&lt;"E"," ","For connection to glass fibre, ST connector")</f>
        <v>For connection to glass fibre, ST connector</v>
      </c>
      <c r="Y150" s="138" t="str">
        <f>IF(Configurator!$D$26&lt;"E"," ","For connection to glass fibre, ST connector")</f>
        <v>For connection to glass fibre, ST connector</v>
      </c>
      <c r="Z150" s="138" t="str">
        <f>IF(Configurator!$D$26&lt;"E"," ","For connection to glass fibre, ST connector")</f>
        <v>For connection to glass fibre, ST connector</v>
      </c>
      <c r="AA150" s="138" t="str">
        <f>IF(Configurator!$D$26&lt;"E"," ","For connection to glass fibre, ST connector")</f>
        <v>For connection to glass fibre, ST connector</v>
      </c>
      <c r="AB150" s="138" t="str">
        <f>IF(Configurator!$D$26&lt;"E"," ","For connection to glass fibre, ST connector")</f>
        <v>For connection to glass fibre, ST connector</v>
      </c>
      <c r="AC150" s="138" t="str">
        <f>IF(Configurator!$D$26&lt;"E"," ","For connection to glass fibre, ST connector")</f>
        <v>For connection to glass fibre, ST connector</v>
      </c>
      <c r="AD150" s="138" t="str">
        <f>IF(Configurator!$D$26&lt;"E"," ","For connection to glass fibre, ST connector")</f>
        <v>For connection to glass fibre, ST connector</v>
      </c>
      <c r="AE150" s="138" t="str">
        <f>IF(Configurator!$D$26&lt;"E"," ","For connection to glass fibre, ST connector")</f>
        <v>For connection to glass fibre, ST connector</v>
      </c>
      <c r="AF150" s="138" t="str">
        <f>IF(Configurator!$D$26&lt;"E"," ","For connection to glass fibre, ST connector")</f>
        <v>For connection to glass fibre, ST connector</v>
      </c>
      <c r="AG150" s="138" t="str">
        <f>IF(Configurator!$D$26&lt;"E"," ","For connection to glass fibre, ST connector")</f>
        <v>For connection to glass fibre, ST connector</v>
      </c>
      <c r="AH150" s="138" t="str">
        <f>IF(Configurator!$D$26&lt;"E"," ","For connection to glass fibre, ST connector")</f>
        <v>For connection to glass fibre, ST connector</v>
      </c>
      <c r="AI150" s="138" t="str">
        <f>IF(Configurator!$D$26&lt;"E"," ","For connection to glass fibre, ST connector")</f>
        <v>For connection to glass fibre, ST connector</v>
      </c>
      <c r="AJ150" s="138" t="str">
        <f>IF(Configurator!$D$26&lt;"E"," ","For connection to glass fibre, ST connector")</f>
        <v>For connection to glass fibre, ST connector</v>
      </c>
      <c r="AK150" s="138" t="str">
        <f>IF(Configurator!$D$26&lt;"E"," ","For connection to glass fibre, ST connector")</f>
        <v>For connection to glass fibre, ST connector</v>
      </c>
      <c r="AL150" s="138" t="str">
        <f>IF(Configurator!$D$26&lt;"E"," ","For connection to glass fibre, ST connector")</f>
        <v>For connection to glass fibre, ST connector</v>
      </c>
      <c r="AM150" s="138" t="str">
        <f>IF(Configurator!$D$26&lt;"E"," ","For connection to glass fibre, ST connector")</f>
        <v>For connection to glass fibre, ST connector</v>
      </c>
      <c r="AN150" s="138" t="str">
        <f>IF(Configurator!$D$26&lt;"E"," ","For connection to glass fibre, ST connector")</f>
        <v>For connection to glass fibre, ST connector</v>
      </c>
      <c r="AO150" s="138" t="str">
        <f>IF(Configurator!$D$26&lt;"E"," ","For connection to glass fibre, ST connector")</f>
        <v>For connection to glass fibre, ST connector</v>
      </c>
      <c r="AP150" s="138" t="str">
        <f>IF(Configurator!$D$26&lt;"E"," ","For connection to glass fibre, ST connector")</f>
        <v>For connection to glass fibre, ST connector</v>
      </c>
      <c r="AQ150" s="138" t="str">
        <f>IF(Configurator!$D$26&lt;"E"," ","For connection to glass fibre, ST connector")</f>
        <v>For connection to glass fibre, ST connector</v>
      </c>
      <c r="AR150" s="138" t="str">
        <f>IF(Configurator!$D$26&lt;"E"," ","For connection to glass fibre, ST connector")</f>
        <v>For connection to glass fibre, ST connector</v>
      </c>
      <c r="AS150" s="138" t="str">
        <f>IF(Configurator!$D$26&lt;"E"," ","For connection to glass fibre, ST connector")</f>
        <v>For connection to glass fibre, ST connector</v>
      </c>
      <c r="AT150" s="138" t="str">
        <f>IF(Configurator!$D$26&lt;"E"," ","For connection to glass fibre, ST connector")</f>
        <v>For connection to glass fibre, ST connector</v>
      </c>
      <c r="AU150" s="138" t="str">
        <f>IF(Configurator!$D$26&lt;"E"," ","For connection to glass fibre, ST connector")</f>
        <v>For connection to glass fibre, ST connector</v>
      </c>
      <c r="AV150" s="138" t="str">
        <f>IF(Configurator!$D$26&lt;"E"," ","For connection to glass fibre, ST connector")</f>
        <v>For connection to glass fibre, ST connector</v>
      </c>
      <c r="AW150" s="138" t="str">
        <f>IF(Configurator!$D$26&lt;"E"," ","For connection to glass fibre, ST connector")</f>
        <v>For connection to glass fibre, ST connector</v>
      </c>
      <c r="AX150" s="138" t="str">
        <f>IF(Configurator!$D$26&lt;"E"," ","For connection to glass fibre, ST connector")</f>
        <v>For connection to glass fibre, ST connector</v>
      </c>
      <c r="AY150" s="138" t="str">
        <f>IF(Configurator!$D$26&lt;"E"," ","For connection to glass fibre, ST connector")</f>
        <v>For connection to glass fibre, ST connector</v>
      </c>
      <c r="AZ150" s="138" t="str">
        <f>IF(Configurator!$D$26&lt;"E"," ","For connection to glass fibre, ST connector")</f>
        <v>For connection to glass fibre, ST connector</v>
      </c>
      <c r="BA150" s="138" t="str">
        <f>IF(Configurator!$D$26&lt;"E"," ","For connection to glass fibre, ST connector")</f>
        <v>For connection to glass fibre, ST connector</v>
      </c>
      <c r="BB150" s="134" t="s">
        <v>1212</v>
      </c>
      <c r="BC150" s="134" t="s">
        <v>1212</v>
      </c>
      <c r="BD150" s="134" t="s">
        <v>1212</v>
      </c>
      <c r="BE150" s="134" t="s">
        <v>1212</v>
      </c>
      <c r="BF150" s="134" t="s">
        <v>1212</v>
      </c>
      <c r="BG150" s="134" t="s">
        <v>1212</v>
      </c>
      <c r="BH150" s="134" t="s">
        <v>1212</v>
      </c>
      <c r="BI150" s="134" t="s">
        <v>1212</v>
      </c>
      <c r="BJ150" s="134" t="s">
        <v>1212</v>
      </c>
      <c r="BK150" s="134" t="s">
        <v>1212</v>
      </c>
      <c r="BL150" s="134" t="s">
        <v>1212</v>
      </c>
      <c r="BM150" s="134" t="s">
        <v>1212</v>
      </c>
      <c r="BN150" s="134" t="s">
        <v>1212</v>
      </c>
      <c r="BO150" s="134" t="s">
        <v>1212</v>
      </c>
      <c r="BP150" s="134" t="s">
        <v>1212</v>
      </c>
      <c r="BQ150" s="134" t="s">
        <v>1212</v>
      </c>
      <c r="BR150" s="134" t="s">
        <v>1212</v>
      </c>
      <c r="BS150" s="134" t="s">
        <v>1212</v>
      </c>
      <c r="BT150" s="134" t="s">
        <v>1212</v>
      </c>
      <c r="BU150" s="134" t="s">
        <v>1212</v>
      </c>
      <c r="BV150" s="134" t="s">
        <v>1212</v>
      </c>
      <c r="BW150" s="134" t="s">
        <v>1212</v>
      </c>
      <c r="BX150" s="134" t="s">
        <v>1212</v>
      </c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</row>
    <row r="151" spans="2:86" ht="14.25">
      <c r="B151" s="136" t="s">
        <v>1073</v>
      </c>
      <c r="C151" s="136" t="s">
        <v>1073</v>
      </c>
      <c r="D151" s="136" t="s">
        <v>1073</v>
      </c>
      <c r="E151" s="136" t="s">
        <v>1073</v>
      </c>
      <c r="F151" s="136" t="s">
        <v>1073</v>
      </c>
      <c r="G151" s="136" t="s">
        <v>1073</v>
      </c>
      <c r="H151" s="136" t="s">
        <v>1073</v>
      </c>
      <c r="I151" s="136" t="s">
        <v>1073</v>
      </c>
      <c r="J151" s="136" t="s">
        <v>1073</v>
      </c>
      <c r="K151" s="136" t="s">
        <v>1073</v>
      </c>
      <c r="L151" s="136" t="s">
        <v>1073</v>
      </c>
      <c r="M151" s="136" t="s">
        <v>1073</v>
      </c>
      <c r="N151" s="136" t="s">
        <v>1073</v>
      </c>
      <c r="O151" s="136" t="s">
        <v>1073</v>
      </c>
      <c r="P151" s="136" t="s">
        <v>1073</v>
      </c>
      <c r="Q151" s="136" t="s">
        <v>1073</v>
      </c>
      <c r="R151" s="136" t="s">
        <v>1073</v>
      </c>
      <c r="S151" s="136" t="s">
        <v>1073</v>
      </c>
      <c r="T151" s="136" t="s">
        <v>1073</v>
      </c>
      <c r="U151" s="136" t="s">
        <v>1073</v>
      </c>
      <c r="V151" s="136" t="s">
        <v>1073</v>
      </c>
      <c r="W151" s="136" t="s">
        <v>1073</v>
      </c>
      <c r="X151" s="138" t="str">
        <f>IF(Configurator!$D$26&lt;"E"," ","For connection to wire, RS232")</f>
        <v>For connection to wire, RS232</v>
      </c>
      <c r="Y151" s="138" t="str">
        <f>IF(Configurator!$D$26&lt;"E"," ","For connection to wire, RS232")</f>
        <v>For connection to wire, RS232</v>
      </c>
      <c r="Z151" s="138" t="str">
        <f>IF(Configurator!$D$26&lt;"E"," ","For connection to wire, RS232")</f>
        <v>For connection to wire, RS232</v>
      </c>
      <c r="AA151" s="138" t="str">
        <f>IF(Configurator!$D$26&lt;"E"," ","For connection to wire, RS232")</f>
        <v>For connection to wire, RS232</v>
      </c>
      <c r="AB151" s="138" t="str">
        <f>IF(Configurator!$D$26&lt;"E"," ","For connection to wire, RS232")</f>
        <v>For connection to wire, RS232</v>
      </c>
      <c r="AC151" s="138" t="str">
        <f>IF(Configurator!$D$26&lt;"E"," ","For connection to wire, RS232")</f>
        <v>For connection to wire, RS232</v>
      </c>
      <c r="AD151" s="138" t="str">
        <f>IF(Configurator!$D$26&lt;"E"," ","For connection to wire, RS232")</f>
        <v>For connection to wire, RS232</v>
      </c>
      <c r="AE151" s="138" t="str">
        <f>IF(Configurator!$D$26&lt;"E"," ","For connection to wire, RS232")</f>
        <v>For connection to wire, RS232</v>
      </c>
      <c r="AF151" s="138" t="str">
        <f>IF(Configurator!$D$26&lt;"E"," ","For connection to wire, RS232")</f>
        <v>For connection to wire, RS232</v>
      </c>
      <c r="AG151" s="138" t="str">
        <f>IF(Configurator!$D$26&lt;"E"," ","For connection to wire, RS232")</f>
        <v>For connection to wire, RS232</v>
      </c>
      <c r="AH151" s="138" t="str">
        <f>IF(Configurator!$D$26&lt;"E"," ","For connection to wire, RS232")</f>
        <v>For connection to wire, RS232</v>
      </c>
      <c r="AI151" s="138" t="str">
        <f>IF(Configurator!$D$26&lt;"E"," ","For connection to wire, RS232")</f>
        <v>For connection to wire, RS232</v>
      </c>
      <c r="AJ151" s="138" t="str">
        <f>IF(Configurator!$D$26&lt;"E"," ","For connection to wire, RS232")</f>
        <v>For connection to wire, RS232</v>
      </c>
      <c r="AK151" s="138" t="str">
        <f>IF(Configurator!$D$26&lt;"E"," ","For connection to wire, RS232")</f>
        <v>For connection to wire, RS232</v>
      </c>
      <c r="AL151" s="138" t="str">
        <f>IF(Configurator!$D$26&lt;"E"," ","For connection to wire, RS232")</f>
        <v>For connection to wire, RS232</v>
      </c>
      <c r="AM151" s="138" t="str">
        <f>IF(Configurator!$D$26&lt;"E"," ","For connection to wire, RS232")</f>
        <v>For connection to wire, RS232</v>
      </c>
      <c r="AN151" s="138" t="str">
        <f>IF(Configurator!$D$26&lt;"E"," ","For connection to wire, RS232")</f>
        <v>For connection to wire, RS232</v>
      </c>
      <c r="AO151" s="138" t="str">
        <f>IF(Configurator!$D$26&lt;"E"," ","For connection to wire, RS232")</f>
        <v>For connection to wire, RS232</v>
      </c>
      <c r="AP151" s="138" t="str">
        <f>IF(Configurator!$D$26&lt;"E"," ","For connection to wire, RS232")</f>
        <v>For connection to wire, RS232</v>
      </c>
      <c r="AQ151" s="138" t="str">
        <f>IF(Configurator!$D$26&lt;"E"," ","For connection to wire, RS232")</f>
        <v>For connection to wire, RS232</v>
      </c>
      <c r="AR151" s="138" t="str">
        <f>IF(Configurator!$D$26&lt;"E"," ","For connection to wire, RS232")</f>
        <v>For connection to wire, RS232</v>
      </c>
      <c r="AS151" s="138" t="str">
        <f>IF(Configurator!$D$26&lt;"E"," ","For connection to wire, RS232")</f>
        <v>For connection to wire, RS232</v>
      </c>
      <c r="AT151" s="138" t="str">
        <f>IF(Configurator!$D$26&lt;"E"," ","For connection to wire, RS232")</f>
        <v>For connection to wire, RS232</v>
      </c>
      <c r="AU151" s="138" t="str">
        <f>IF(Configurator!$D$26&lt;"E"," ","For connection to wire, RS232")</f>
        <v>For connection to wire, RS232</v>
      </c>
      <c r="AV151" s="138" t="str">
        <f>IF(Configurator!$D$26&lt;"E"," ","For connection to wire, RS232")</f>
        <v>For connection to wire, RS232</v>
      </c>
      <c r="AW151" s="138" t="str">
        <f>IF(Configurator!$D$26&lt;"E"," ","For connection to wire, RS232")</f>
        <v>For connection to wire, RS232</v>
      </c>
      <c r="AX151" s="138" t="str">
        <f>IF(Configurator!$D$26&lt;"E"," ","For connection to wire, RS232")</f>
        <v>For connection to wire, RS232</v>
      </c>
      <c r="AY151" s="138" t="str">
        <f>IF(Configurator!$D$26&lt;"E"," ","For connection to wire, RS232")</f>
        <v>For connection to wire, RS232</v>
      </c>
      <c r="AZ151" s="138" t="str">
        <f>IF(Configurator!$D$26&lt;"E"," ","For connection to wire, RS232")</f>
        <v>For connection to wire, RS232</v>
      </c>
      <c r="BA151" s="138" t="str">
        <f>IF(Configurator!$D$26&lt;"E"," ","For connection to wire, RS232")</f>
        <v>For connection to wire, RS232</v>
      </c>
      <c r="BB151" s="134" t="s">
        <v>873</v>
      </c>
      <c r="BC151" s="134" t="s">
        <v>873</v>
      </c>
      <c r="BD151" s="134" t="s">
        <v>873</v>
      </c>
      <c r="BE151" s="134" t="s">
        <v>873</v>
      </c>
      <c r="BF151" s="134" t="s">
        <v>873</v>
      </c>
      <c r="BG151" s="134" t="s">
        <v>873</v>
      </c>
      <c r="BH151" s="134" t="s">
        <v>873</v>
      </c>
      <c r="BI151" s="134" t="s">
        <v>873</v>
      </c>
      <c r="BJ151" s="134" t="s">
        <v>873</v>
      </c>
      <c r="BK151" s="134" t="s">
        <v>873</v>
      </c>
      <c r="BL151" s="134" t="s">
        <v>873</v>
      </c>
      <c r="BM151" s="134" t="s">
        <v>873</v>
      </c>
      <c r="BN151" s="134" t="s">
        <v>873</v>
      </c>
      <c r="BO151" s="134" t="s">
        <v>873</v>
      </c>
      <c r="BP151" s="134" t="s">
        <v>873</v>
      </c>
      <c r="BQ151" s="134" t="s">
        <v>873</v>
      </c>
      <c r="BR151" s="134" t="s">
        <v>873</v>
      </c>
      <c r="BS151" s="134" t="s">
        <v>873</v>
      </c>
      <c r="BT151" s="134" t="s">
        <v>873</v>
      </c>
      <c r="BU151" s="134" t="s">
        <v>873</v>
      </c>
      <c r="BV151" s="134" t="s">
        <v>873</v>
      </c>
      <c r="BW151" s="134" t="s">
        <v>873</v>
      </c>
      <c r="BX151" s="134" t="s">
        <v>873</v>
      </c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</row>
    <row r="152" spans="2:86" ht="14.25">
      <c r="B152" s="136" t="s">
        <v>1073</v>
      </c>
      <c r="C152" s="136" t="s">
        <v>1073</v>
      </c>
      <c r="D152" s="136" t="s">
        <v>1073</v>
      </c>
      <c r="E152" s="136" t="s">
        <v>1073</v>
      </c>
      <c r="F152" s="136" t="s">
        <v>1073</v>
      </c>
      <c r="G152" s="136" t="s">
        <v>1073</v>
      </c>
      <c r="H152" s="136" t="s">
        <v>1073</v>
      </c>
      <c r="I152" s="136" t="s">
        <v>1073</v>
      </c>
      <c r="J152" s="136" t="s">
        <v>1073</v>
      </c>
      <c r="K152" s="136" t="s">
        <v>1073</v>
      </c>
      <c r="L152" s="136" t="s">
        <v>1073</v>
      </c>
      <c r="M152" s="136" t="s">
        <v>1073</v>
      </c>
      <c r="N152" s="136" t="s">
        <v>1073</v>
      </c>
      <c r="O152" s="136" t="s">
        <v>1073</v>
      </c>
      <c r="P152" s="136" t="s">
        <v>1073</v>
      </c>
      <c r="Q152" s="136" t="s">
        <v>1073</v>
      </c>
      <c r="R152" s="136" t="s">
        <v>1073</v>
      </c>
      <c r="S152" s="136" t="s">
        <v>1073</v>
      </c>
      <c r="T152" s="136" t="s">
        <v>1073</v>
      </c>
      <c r="U152" s="136" t="s">
        <v>1073</v>
      </c>
      <c r="V152" s="136" t="s">
        <v>1073</v>
      </c>
      <c r="W152" s="136" t="s">
        <v>1073</v>
      </c>
      <c r="X152" s="138" t="str">
        <f>IF(Configurator!$D$26&lt;"E"," ","-950")</f>
        <v>-950</v>
      </c>
      <c r="Y152" s="138" t="str">
        <f>IF(Configurator!$D$26&lt;"E"," ","-950")</f>
        <v>-950</v>
      </c>
      <c r="Z152" s="138" t="str">
        <f>IF(Configurator!$D$26&lt;"E"," ","-950")</f>
        <v>-950</v>
      </c>
      <c r="AA152" s="138" t="str">
        <f>IF(Configurator!$D$26&lt;"E"," ","-950")</f>
        <v>-950</v>
      </c>
      <c r="AB152" s="138" t="str">
        <f>IF(Configurator!$D$26&lt;"E"," ","-950")</f>
        <v>-950</v>
      </c>
      <c r="AC152" s="138" t="str">
        <f>IF(Configurator!$D$26&lt;"E"," ","-950")</f>
        <v>-950</v>
      </c>
      <c r="AD152" s="138" t="str">
        <f>IF(Configurator!$D$26&lt;"E"," ","-950")</f>
        <v>-950</v>
      </c>
      <c r="AE152" s="138" t="str">
        <f>IF(Configurator!$D$26&lt;"E"," ","-950")</f>
        <v>-950</v>
      </c>
      <c r="AF152" s="138" t="str">
        <f>IF(Configurator!$D$26&lt;"E"," ","-950")</f>
        <v>-950</v>
      </c>
      <c r="AG152" s="138" t="str">
        <f>IF(Configurator!$D$26&lt;"E"," ","-950")</f>
        <v>-950</v>
      </c>
      <c r="AH152" s="138" t="str">
        <f>IF(Configurator!$D$26&lt;"E"," ","-950")</f>
        <v>-950</v>
      </c>
      <c r="AI152" s="138" t="str">
        <f>IF(Configurator!$D$26&lt;"E"," ","-950")</f>
        <v>-950</v>
      </c>
      <c r="AJ152" s="138" t="str">
        <f>IF(Configurator!$D$26&lt;"E"," ","-950")</f>
        <v>-950</v>
      </c>
      <c r="AK152" s="138" t="str">
        <f>IF(Configurator!$D$26&lt;"E"," ","-950")</f>
        <v>-950</v>
      </c>
      <c r="AL152" s="138" t="str">
        <f>IF(Configurator!$D$26&lt;"E"," ","-950")</f>
        <v>-950</v>
      </c>
      <c r="AM152" s="138" t="str">
        <f>IF(Configurator!$D$26&lt;"E"," ","-950")</f>
        <v>-950</v>
      </c>
      <c r="AN152" s="138" t="str">
        <f>IF(Configurator!$D$26&lt;"E"," ","-950")</f>
        <v>-950</v>
      </c>
      <c r="AO152" s="138" t="str">
        <f>IF(Configurator!$D$26&lt;"E"," ","-950")</f>
        <v>-950</v>
      </c>
      <c r="AP152" s="138" t="str">
        <f>IF(Configurator!$D$26&lt;"E"," ","-950")</f>
        <v>-950</v>
      </c>
      <c r="AQ152" s="138" t="str">
        <f>IF(Configurator!$D$26&lt;"E"," ","-950")</f>
        <v>-950</v>
      </c>
      <c r="AR152" s="138" t="str">
        <f>IF(Configurator!$D$26&lt;"E"," ","-950")</f>
        <v>-950</v>
      </c>
      <c r="AS152" s="138" t="str">
        <f>IF(Configurator!$D$26&lt;"E"," ","-950")</f>
        <v>-950</v>
      </c>
      <c r="AT152" s="138" t="str">
        <f>IF(Configurator!$D$26&lt;"E"," ","-950")</f>
        <v>-950</v>
      </c>
      <c r="AU152" s="138" t="str">
        <f>IF(Configurator!$D$26&lt;"E"," ","-950")</f>
        <v>-950</v>
      </c>
      <c r="AV152" s="138" t="str">
        <f>IF(Configurator!$D$26&lt;"E"," ","-950")</f>
        <v>-950</v>
      </c>
      <c r="AW152" s="138" t="str">
        <f>IF(Configurator!$D$26&lt;"E"," ","-950")</f>
        <v>-950</v>
      </c>
      <c r="AX152" s="138" t="str">
        <f>IF(Configurator!$D$26&lt;"E"," ","-950")</f>
        <v>-950</v>
      </c>
      <c r="AY152" s="138" t="str">
        <f>IF(Configurator!$D$26&lt;"E"," ","-950")</f>
        <v>-950</v>
      </c>
      <c r="AZ152" s="138" t="str">
        <f>IF(Configurator!$D$26&lt;"E"," ","-950")</f>
        <v>-950</v>
      </c>
      <c r="BA152" s="138" t="str">
        <f>IF(Configurator!$D$26&lt;"E"," ","-950")</f>
        <v>-950</v>
      </c>
      <c r="BB152" s="136" t="s">
        <v>874</v>
      </c>
      <c r="BC152" s="136" t="s">
        <v>874</v>
      </c>
      <c r="BD152" s="136" t="s">
        <v>874</v>
      </c>
      <c r="BE152" s="136" t="s">
        <v>874</v>
      </c>
      <c r="BF152" s="136" t="s">
        <v>874</v>
      </c>
      <c r="BG152" s="136" t="s">
        <v>874</v>
      </c>
      <c r="BH152" s="136" t="s">
        <v>874</v>
      </c>
      <c r="BI152" s="136" t="s">
        <v>874</v>
      </c>
      <c r="BJ152" s="136" t="s">
        <v>874</v>
      </c>
      <c r="BK152" s="136" t="s">
        <v>874</v>
      </c>
      <c r="BL152" s="136" t="s">
        <v>874</v>
      </c>
      <c r="BM152" s="136" t="s">
        <v>874</v>
      </c>
      <c r="BN152" s="136" t="s">
        <v>874</v>
      </c>
      <c r="BO152" s="136" t="s">
        <v>874</v>
      </c>
      <c r="BP152" s="136" t="s">
        <v>874</v>
      </c>
      <c r="BQ152" s="136" t="s">
        <v>874</v>
      </c>
      <c r="BR152" s="136" t="s">
        <v>874</v>
      </c>
      <c r="BS152" s="136" t="s">
        <v>874</v>
      </c>
      <c r="BT152" s="136" t="s">
        <v>874</v>
      </c>
      <c r="BU152" s="136" t="s">
        <v>874</v>
      </c>
      <c r="BV152" s="136" t="s">
        <v>874</v>
      </c>
      <c r="BW152" s="136" t="s">
        <v>874</v>
      </c>
      <c r="BX152" s="136" t="s">
        <v>874</v>
      </c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</row>
    <row r="153" spans="2:86" ht="14.25">
      <c r="B153" s="136" t="s">
        <v>1073</v>
      </c>
      <c r="C153" s="136" t="s">
        <v>1073</v>
      </c>
      <c r="D153" s="136" t="s">
        <v>1073</v>
      </c>
      <c r="E153" s="136" t="s">
        <v>1073</v>
      </c>
      <c r="F153" s="136" t="s">
        <v>1073</v>
      </c>
      <c r="G153" s="136" t="s">
        <v>1073</v>
      </c>
      <c r="H153" s="136" t="s">
        <v>1073</v>
      </c>
      <c r="I153" s="136" t="s">
        <v>1073</v>
      </c>
      <c r="J153" s="136" t="s">
        <v>1073</v>
      </c>
      <c r="K153" s="136" t="s">
        <v>1073</v>
      </c>
      <c r="L153" s="136" t="s">
        <v>1073</v>
      </c>
      <c r="M153" s="136" t="s">
        <v>1073</v>
      </c>
      <c r="N153" s="136" t="s">
        <v>1073</v>
      </c>
      <c r="O153" s="136" t="s">
        <v>1073</v>
      </c>
      <c r="P153" s="136" t="s">
        <v>1073</v>
      </c>
      <c r="Q153" s="136" t="s">
        <v>1073</v>
      </c>
      <c r="R153" s="136" t="s">
        <v>1073</v>
      </c>
      <c r="S153" s="136" t="s">
        <v>1073</v>
      </c>
      <c r="T153" s="136" t="s">
        <v>1073</v>
      </c>
      <c r="U153" s="136" t="s">
        <v>1073</v>
      </c>
      <c r="V153" s="136" t="s">
        <v>1073</v>
      </c>
      <c r="W153" s="136" t="s">
        <v>1073</v>
      </c>
      <c r="X153" s="138" t="str">
        <f>IF(Configurator!$D$26&lt;"E"," ","-951")</f>
        <v>-951</v>
      </c>
      <c r="Y153" s="138" t="str">
        <f>IF(Configurator!$D$26&lt;"E"," ","-951")</f>
        <v>-951</v>
      </c>
      <c r="Z153" s="138" t="str">
        <f>IF(Configurator!$D$26&lt;"E"," ","-951")</f>
        <v>-951</v>
      </c>
      <c r="AA153" s="138" t="str">
        <f>IF(Configurator!$D$26&lt;"E"," ","-951")</f>
        <v>-951</v>
      </c>
      <c r="AB153" s="138" t="str">
        <f>IF(Configurator!$D$26&lt;"E"," ","-951")</f>
        <v>-951</v>
      </c>
      <c r="AC153" s="138" t="str">
        <f>IF(Configurator!$D$26&lt;"E"," ","-951")</f>
        <v>-951</v>
      </c>
      <c r="AD153" s="138" t="str">
        <f>IF(Configurator!$D$26&lt;"E"," ","-951")</f>
        <v>-951</v>
      </c>
      <c r="AE153" s="138" t="str">
        <f>IF(Configurator!$D$26&lt;"E"," ","-951")</f>
        <v>-951</v>
      </c>
      <c r="AF153" s="138" t="str">
        <f>IF(Configurator!$D$26&lt;"E"," ","-951")</f>
        <v>-951</v>
      </c>
      <c r="AG153" s="138" t="str">
        <f>IF(Configurator!$D$26&lt;"E"," ","-951")</f>
        <v>-951</v>
      </c>
      <c r="AH153" s="138" t="str">
        <f>IF(Configurator!$D$26&lt;"E"," ","-951")</f>
        <v>-951</v>
      </c>
      <c r="AI153" s="138" t="str">
        <f>IF(Configurator!$D$26&lt;"E"," ","-951")</f>
        <v>-951</v>
      </c>
      <c r="AJ153" s="138" t="str">
        <f>IF(Configurator!$D$26&lt;"E"," ","-951")</f>
        <v>-951</v>
      </c>
      <c r="AK153" s="138" t="str">
        <f>IF(Configurator!$D$26&lt;"E"," ","-951")</f>
        <v>-951</v>
      </c>
      <c r="AL153" s="138" t="str">
        <f>IF(Configurator!$D$26&lt;"E"," ","-951")</f>
        <v>-951</v>
      </c>
      <c r="AM153" s="138" t="str">
        <f>IF(Configurator!$D$26&lt;"E"," ","-951")</f>
        <v>-951</v>
      </c>
      <c r="AN153" s="138" t="str">
        <f>IF(Configurator!$D$26&lt;"E"," ","-951")</f>
        <v>-951</v>
      </c>
      <c r="AO153" s="138" t="str">
        <f>IF(Configurator!$D$26&lt;"E"," ","-951")</f>
        <v>-951</v>
      </c>
      <c r="AP153" s="138" t="str">
        <f>IF(Configurator!$D$26&lt;"E"," ","-951")</f>
        <v>-951</v>
      </c>
      <c r="AQ153" s="138" t="str">
        <f>IF(Configurator!$D$26&lt;"E"," ","-951")</f>
        <v>-951</v>
      </c>
      <c r="AR153" s="138" t="str">
        <f>IF(Configurator!$D$26&lt;"E"," ","-951")</f>
        <v>-951</v>
      </c>
      <c r="AS153" s="138" t="str">
        <f>IF(Configurator!$D$26&lt;"E"," ","-951")</f>
        <v>-951</v>
      </c>
      <c r="AT153" s="138" t="str">
        <f>IF(Configurator!$D$26&lt;"E"," ","-951")</f>
        <v>-951</v>
      </c>
      <c r="AU153" s="138" t="str">
        <f>IF(Configurator!$D$26&lt;"E"," ","-951")</f>
        <v>-951</v>
      </c>
      <c r="AV153" s="138" t="str">
        <f>IF(Configurator!$D$26&lt;"E"," ","-951")</f>
        <v>-951</v>
      </c>
      <c r="AW153" s="138" t="str">
        <f>IF(Configurator!$D$26&lt;"E"," ","-951")</f>
        <v>-951</v>
      </c>
      <c r="AX153" s="138" t="str">
        <f>IF(Configurator!$D$26&lt;"E"," ","-951")</f>
        <v>-951</v>
      </c>
      <c r="AY153" s="138" t="str">
        <f>IF(Configurator!$D$26&lt;"E"," ","-951")</f>
        <v>-951</v>
      </c>
      <c r="AZ153" s="138" t="str">
        <f>IF(Configurator!$D$26&lt;"E"," ","-951")</f>
        <v>-951</v>
      </c>
      <c r="BA153" s="138" t="str">
        <f>IF(Configurator!$D$26&lt;"E"," ","-951")</f>
        <v>-951</v>
      </c>
      <c r="BB153" s="136" t="s">
        <v>875</v>
      </c>
      <c r="BC153" s="136" t="s">
        <v>875</v>
      </c>
      <c r="BD153" s="136" t="s">
        <v>875</v>
      </c>
      <c r="BE153" s="136" t="s">
        <v>875</v>
      </c>
      <c r="BF153" s="136" t="s">
        <v>875</v>
      </c>
      <c r="BG153" s="136" t="s">
        <v>875</v>
      </c>
      <c r="BH153" s="136" t="s">
        <v>875</v>
      </c>
      <c r="BI153" s="136" t="s">
        <v>875</v>
      </c>
      <c r="BJ153" s="136" t="s">
        <v>875</v>
      </c>
      <c r="BK153" s="136" t="s">
        <v>875</v>
      </c>
      <c r="BL153" s="136" t="s">
        <v>875</v>
      </c>
      <c r="BM153" s="136" t="s">
        <v>875</v>
      </c>
      <c r="BN153" s="136" t="s">
        <v>875</v>
      </c>
      <c r="BO153" s="136" t="s">
        <v>875</v>
      </c>
      <c r="BP153" s="136" t="s">
        <v>875</v>
      </c>
      <c r="BQ153" s="136" t="s">
        <v>875</v>
      </c>
      <c r="BR153" s="136" t="s">
        <v>875</v>
      </c>
      <c r="BS153" s="136" t="s">
        <v>875</v>
      </c>
      <c r="BT153" s="136" t="s">
        <v>875</v>
      </c>
      <c r="BU153" s="136" t="s">
        <v>875</v>
      </c>
      <c r="BV153" s="136" t="s">
        <v>875</v>
      </c>
      <c r="BW153" s="136" t="s">
        <v>875</v>
      </c>
      <c r="BX153" s="136" t="s">
        <v>875</v>
      </c>
      <c r="BY153" s="277"/>
      <c r="BZ153" s="277"/>
      <c r="CA153" s="277"/>
      <c r="CB153" s="277"/>
      <c r="CC153" s="277"/>
      <c r="CD153" s="277"/>
      <c r="CE153" s="277"/>
      <c r="CF153" s="277"/>
      <c r="CG153" s="277"/>
      <c r="CH153" s="277"/>
    </row>
    <row r="154" spans="2:86" ht="14.25">
      <c r="B154" s="136" t="s">
        <v>1073</v>
      </c>
      <c r="C154" s="136" t="s">
        <v>1073</v>
      </c>
      <c r="D154" s="136" t="s">
        <v>1073</v>
      </c>
      <c r="E154" s="136" t="s">
        <v>1073</v>
      </c>
      <c r="F154" s="136" t="s">
        <v>1073</v>
      </c>
      <c r="G154" s="136" t="s">
        <v>1073</v>
      </c>
      <c r="H154" s="136" t="s">
        <v>1073</v>
      </c>
      <c r="I154" s="136" t="s">
        <v>1073</v>
      </c>
      <c r="J154" s="136" t="s">
        <v>1073</v>
      </c>
      <c r="K154" s="136" t="s">
        <v>1073</v>
      </c>
      <c r="L154" s="136" t="s">
        <v>1073</v>
      </c>
      <c r="M154" s="136" t="s">
        <v>1073</v>
      </c>
      <c r="N154" s="136" t="s">
        <v>1073</v>
      </c>
      <c r="O154" s="136" t="s">
        <v>1073</v>
      </c>
      <c r="P154" s="136" t="s">
        <v>1073</v>
      </c>
      <c r="Q154" s="136" t="s">
        <v>1073</v>
      </c>
      <c r="R154" s="136" t="s">
        <v>1073</v>
      </c>
      <c r="S154" s="136" t="s">
        <v>1073</v>
      </c>
      <c r="T154" s="136" t="s">
        <v>1073</v>
      </c>
      <c r="U154" s="136" t="s">
        <v>1073</v>
      </c>
      <c r="V154" s="136" t="s">
        <v>1073</v>
      </c>
      <c r="W154" s="136" t="s">
        <v>1073</v>
      </c>
      <c r="X154" s="138" t="str">
        <f>IF(Configurator!$D$26&lt;"E"," ","-952")</f>
        <v>-952</v>
      </c>
      <c r="Y154" s="138" t="str">
        <f>IF(Configurator!$D$26&lt;"E"," ","-952")</f>
        <v>-952</v>
      </c>
      <c r="Z154" s="138" t="str">
        <f>IF(Configurator!$D$26&lt;"E"," ","-952")</f>
        <v>-952</v>
      </c>
      <c r="AA154" s="138" t="str">
        <f>IF(Configurator!$D$26&lt;"E"," ","-952")</f>
        <v>-952</v>
      </c>
      <c r="AB154" s="138" t="str">
        <f>IF(Configurator!$D$26&lt;"E"," ","-952")</f>
        <v>-952</v>
      </c>
      <c r="AC154" s="138" t="str">
        <f>IF(Configurator!$D$26&lt;"E"," ","-952")</f>
        <v>-952</v>
      </c>
      <c r="AD154" s="138" t="str">
        <f>IF(Configurator!$D$26&lt;"E"," ","-952")</f>
        <v>-952</v>
      </c>
      <c r="AE154" s="138" t="str">
        <f>IF(Configurator!$D$26&lt;"E"," ","-952")</f>
        <v>-952</v>
      </c>
      <c r="AF154" s="138" t="str">
        <f>IF(Configurator!$D$26&lt;"E"," ","-952")</f>
        <v>-952</v>
      </c>
      <c r="AG154" s="138" t="str">
        <f>IF(Configurator!$D$26&lt;"E"," ","-952")</f>
        <v>-952</v>
      </c>
      <c r="AH154" s="138" t="str">
        <f>IF(Configurator!$D$26&lt;"E"," ","-952")</f>
        <v>-952</v>
      </c>
      <c r="AI154" s="138" t="str">
        <f>IF(Configurator!$D$26&lt;"E"," ","-952")</f>
        <v>-952</v>
      </c>
      <c r="AJ154" s="138" t="str">
        <f>IF(Configurator!$D$26&lt;"E"," ","-952")</f>
        <v>-952</v>
      </c>
      <c r="AK154" s="138" t="str">
        <f>IF(Configurator!$D$26&lt;"E"," ","-952")</f>
        <v>-952</v>
      </c>
      <c r="AL154" s="138" t="str">
        <f>IF(Configurator!$D$26&lt;"E"," ","-952")</f>
        <v>-952</v>
      </c>
      <c r="AM154" s="138" t="str">
        <f>IF(Configurator!$D$26&lt;"E"," ","-952")</f>
        <v>-952</v>
      </c>
      <c r="AN154" s="138" t="str">
        <f>IF(Configurator!$D$26&lt;"E"," ","-952")</f>
        <v>-952</v>
      </c>
      <c r="AO154" s="138" t="str">
        <f>IF(Configurator!$D$26&lt;"E"," ","-952")</f>
        <v>-952</v>
      </c>
      <c r="AP154" s="138" t="str">
        <f>IF(Configurator!$D$26&lt;"E"," ","-952")</f>
        <v>-952</v>
      </c>
      <c r="AQ154" s="138" t="str">
        <f>IF(Configurator!$D$26&lt;"E"," ","-952")</f>
        <v>-952</v>
      </c>
      <c r="AR154" s="138" t="str">
        <f>IF(Configurator!$D$26&lt;"E"," ","-952")</f>
        <v>-952</v>
      </c>
      <c r="AS154" s="138" t="str">
        <f>IF(Configurator!$D$26&lt;"E"," ","-952")</f>
        <v>-952</v>
      </c>
      <c r="AT154" s="138" t="str">
        <f>IF(Configurator!$D$26&lt;"E"," ","-952")</f>
        <v>-952</v>
      </c>
      <c r="AU154" s="138" t="str">
        <f>IF(Configurator!$D$26&lt;"E"," ","-952")</f>
        <v>-952</v>
      </c>
      <c r="AV154" s="138" t="str">
        <f>IF(Configurator!$D$26&lt;"E"," ","-952")</f>
        <v>-952</v>
      </c>
      <c r="AW154" s="138" t="str">
        <f>IF(Configurator!$D$26&lt;"E"," ","-952")</f>
        <v>-952</v>
      </c>
      <c r="AX154" s="138" t="str">
        <f>IF(Configurator!$D$26&lt;"E"," ","-952")</f>
        <v>-952</v>
      </c>
      <c r="AY154" s="138" t="str">
        <f>IF(Configurator!$D$26&lt;"E"," ","-952")</f>
        <v>-952</v>
      </c>
      <c r="AZ154" s="138" t="str">
        <f>IF(Configurator!$D$26&lt;"E"," ","-952")</f>
        <v>-952</v>
      </c>
      <c r="BA154" s="138" t="str">
        <f>IF(Configurator!$D$26&lt;"E"," ","-952")</f>
        <v>-952</v>
      </c>
      <c r="BB154" s="136" t="s">
        <v>876</v>
      </c>
      <c r="BC154" s="136" t="s">
        <v>876</v>
      </c>
      <c r="BD154" s="136" t="s">
        <v>876</v>
      </c>
      <c r="BE154" s="136" t="s">
        <v>876</v>
      </c>
      <c r="BF154" s="136" t="s">
        <v>876</v>
      </c>
      <c r="BG154" s="136" t="s">
        <v>876</v>
      </c>
      <c r="BH154" s="136" t="s">
        <v>876</v>
      </c>
      <c r="BI154" s="136" t="s">
        <v>876</v>
      </c>
      <c r="BJ154" s="136" t="s">
        <v>876</v>
      </c>
      <c r="BK154" s="136" t="s">
        <v>876</v>
      </c>
      <c r="BL154" s="136" t="s">
        <v>876</v>
      </c>
      <c r="BM154" s="136" t="s">
        <v>876</v>
      </c>
      <c r="BN154" s="136" t="s">
        <v>876</v>
      </c>
      <c r="BO154" s="136" t="s">
        <v>876</v>
      </c>
      <c r="BP154" s="136" t="s">
        <v>876</v>
      </c>
      <c r="BQ154" s="136" t="s">
        <v>876</v>
      </c>
      <c r="BR154" s="136" t="s">
        <v>876</v>
      </c>
      <c r="BS154" s="136" t="s">
        <v>876</v>
      </c>
      <c r="BT154" s="136" t="s">
        <v>876</v>
      </c>
      <c r="BU154" s="136" t="s">
        <v>876</v>
      </c>
      <c r="BV154" s="136" t="s">
        <v>876</v>
      </c>
      <c r="BW154" s="136" t="s">
        <v>876</v>
      </c>
      <c r="BX154" s="136" t="s">
        <v>876</v>
      </c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</row>
    <row r="155" spans="2:86" ht="14.25">
      <c r="B155" s="145" t="s">
        <v>1073</v>
      </c>
      <c r="C155" s="145" t="s">
        <v>1073</v>
      </c>
      <c r="D155" s="145" t="s">
        <v>1073</v>
      </c>
      <c r="E155" s="145" t="s">
        <v>1073</v>
      </c>
      <c r="F155" s="145" t="s">
        <v>1073</v>
      </c>
      <c r="G155" s="145" t="s">
        <v>1073</v>
      </c>
      <c r="H155" s="145" t="s">
        <v>1073</v>
      </c>
      <c r="I155" s="145" t="s">
        <v>1073</v>
      </c>
      <c r="J155" s="145" t="s">
        <v>1073</v>
      </c>
      <c r="K155" s="145" t="s">
        <v>1073</v>
      </c>
      <c r="L155" s="145" t="s">
        <v>1073</v>
      </c>
      <c r="M155" s="145" t="s">
        <v>1073</v>
      </c>
      <c r="N155" s="145" t="s">
        <v>1073</v>
      </c>
      <c r="O155" s="136" t="s">
        <v>1073</v>
      </c>
      <c r="P155" s="136" t="s">
        <v>1073</v>
      </c>
      <c r="Q155" s="136" t="s">
        <v>1073</v>
      </c>
      <c r="R155" s="136" t="s">
        <v>1073</v>
      </c>
      <c r="S155" s="136" t="s">
        <v>1073</v>
      </c>
      <c r="T155" s="136" t="s">
        <v>1073</v>
      </c>
      <c r="U155" s="136" t="s">
        <v>1073</v>
      </c>
      <c r="V155" s="136" t="s">
        <v>1073</v>
      </c>
      <c r="W155" s="136" t="s">
        <v>1073</v>
      </c>
      <c r="X155" s="138" t="str">
        <f>IF(Configurator!$D$26&lt;"E"," ","-954")</f>
        <v>-954</v>
      </c>
      <c r="Y155" s="138" t="str">
        <f>IF(Configurator!$D$26&lt;"E"," ","-954")</f>
        <v>-954</v>
      </c>
      <c r="Z155" s="138" t="str">
        <f>IF(Configurator!$D$26&lt;"E"," ","-954")</f>
        <v>-954</v>
      </c>
      <c r="AA155" s="138" t="str">
        <f>IF(Configurator!$D$26&lt;"E"," ","-954")</f>
        <v>-954</v>
      </c>
      <c r="AB155" s="138" t="str">
        <f>IF(Configurator!$D$26&lt;"E"," ","-954")</f>
        <v>-954</v>
      </c>
      <c r="AC155" s="138" t="str">
        <f>IF(Configurator!$D$26&lt;"E"," ","-954")</f>
        <v>-954</v>
      </c>
      <c r="AD155" s="138" t="str">
        <f>IF(Configurator!$D$26&lt;"E"," ","-954")</f>
        <v>-954</v>
      </c>
      <c r="AE155" s="138" t="str">
        <f>IF(Configurator!$D$26&lt;"E"," ","-954")</f>
        <v>-954</v>
      </c>
      <c r="AF155" s="138" t="str">
        <f>IF(Configurator!$D$26&lt;"E"," ","-954")</f>
        <v>-954</v>
      </c>
      <c r="AG155" s="138" t="str">
        <f>IF(Configurator!$D$26&lt;"E"," ","-954")</f>
        <v>-954</v>
      </c>
      <c r="AH155" s="138" t="str">
        <f>IF(Configurator!$D$26&lt;"E"," ","-954")</f>
        <v>-954</v>
      </c>
      <c r="AI155" s="138" t="str">
        <f>IF(Configurator!$D$26&lt;"E"," ","-954")</f>
        <v>-954</v>
      </c>
      <c r="AJ155" s="138" t="str">
        <f>IF(Configurator!$D$26&lt;"E"," ","-954")</f>
        <v>-954</v>
      </c>
      <c r="AK155" s="138" t="str">
        <f>IF(Configurator!$D$26&lt;"E"," ","-954")</f>
        <v>-954</v>
      </c>
      <c r="AL155" s="138" t="str">
        <f>IF(Configurator!$D$26&lt;"E"," ","-954")</f>
        <v>-954</v>
      </c>
      <c r="AM155" s="138" t="str">
        <f>IF(Configurator!$D$26&lt;"E"," ","-954")</f>
        <v>-954</v>
      </c>
      <c r="AN155" s="138" t="str">
        <f>IF(Configurator!$D$26&lt;"E"," ","-954")</f>
        <v>-954</v>
      </c>
      <c r="AO155" s="138" t="str">
        <f>IF(Configurator!$D$26&lt;"E"," ","-954")</f>
        <v>-954</v>
      </c>
      <c r="AP155" s="138" t="str">
        <f>IF(Configurator!$D$26&lt;"E"," ","-954")</f>
        <v>-954</v>
      </c>
      <c r="AQ155" s="138" t="str">
        <f>IF(Configurator!$D$26&lt;"E"," ","-954")</f>
        <v>-954</v>
      </c>
      <c r="AR155" s="138" t="str">
        <f>IF(Configurator!$D$26&lt;"E"," ","-954")</f>
        <v>-954</v>
      </c>
      <c r="AS155" s="138" t="str">
        <f>IF(Configurator!$D$26&lt;"E"," ","-954")</f>
        <v>-954</v>
      </c>
      <c r="AT155" s="138" t="str">
        <f>IF(Configurator!$D$26&lt;"E"," ","-954")</f>
        <v>-954</v>
      </c>
      <c r="AU155" s="138" t="str">
        <f>IF(Configurator!$D$26&lt;"E"," ","-954")</f>
        <v>-954</v>
      </c>
      <c r="AV155" s="138" t="str">
        <f>IF(Configurator!$D$26&lt;"E"," ","-954")</f>
        <v>-954</v>
      </c>
      <c r="AW155" s="138" t="str">
        <f>IF(Configurator!$D$26&lt;"E"," ","-954")</f>
        <v>-954</v>
      </c>
      <c r="AX155" s="138" t="str">
        <f>IF(Configurator!$D$26&lt;"E"," ","-954")</f>
        <v>-954</v>
      </c>
      <c r="AY155" s="138" t="str">
        <f>IF(Configurator!$D$26&lt;"E"," ","-954")</f>
        <v>-954</v>
      </c>
      <c r="AZ155" s="138" t="str">
        <f>IF(Configurator!$D$26&lt;"E"," ","-954")</f>
        <v>-954</v>
      </c>
      <c r="BA155" s="138" t="str">
        <f>IF(Configurator!$D$26&lt;"E"," ","-954")</f>
        <v>-954</v>
      </c>
      <c r="BB155" s="136" t="s">
        <v>877</v>
      </c>
      <c r="BC155" s="136" t="s">
        <v>877</v>
      </c>
      <c r="BD155" s="136" t="s">
        <v>877</v>
      </c>
      <c r="BE155" s="136" t="s">
        <v>877</v>
      </c>
      <c r="BF155" s="136" t="s">
        <v>877</v>
      </c>
      <c r="BG155" s="136" t="s">
        <v>877</v>
      </c>
      <c r="BH155" s="136" t="s">
        <v>877</v>
      </c>
      <c r="BI155" s="136" t="s">
        <v>877</v>
      </c>
      <c r="BJ155" s="136" t="s">
        <v>877</v>
      </c>
      <c r="BK155" s="136" t="s">
        <v>877</v>
      </c>
      <c r="BL155" s="136" t="s">
        <v>877</v>
      </c>
      <c r="BM155" s="136" t="s">
        <v>877</v>
      </c>
      <c r="BN155" s="136" t="s">
        <v>877</v>
      </c>
      <c r="BO155" s="136" t="s">
        <v>877</v>
      </c>
      <c r="BP155" s="136" t="s">
        <v>877</v>
      </c>
      <c r="BQ155" s="136" t="s">
        <v>877</v>
      </c>
      <c r="BR155" s="136" t="s">
        <v>877</v>
      </c>
      <c r="BS155" s="136" t="s">
        <v>877</v>
      </c>
      <c r="BT155" s="136" t="s">
        <v>877</v>
      </c>
      <c r="BU155" s="136" t="s">
        <v>877</v>
      </c>
      <c r="BV155" s="136" t="s">
        <v>877</v>
      </c>
      <c r="BW155" s="136" t="s">
        <v>877</v>
      </c>
      <c r="BX155" s="136" t="s">
        <v>877</v>
      </c>
      <c r="BY155" s="277"/>
      <c r="BZ155" s="277"/>
      <c r="CA155" s="277"/>
      <c r="CB155" s="277"/>
      <c r="CC155" s="277"/>
      <c r="CD155" s="277"/>
      <c r="CE155" s="277"/>
      <c r="CF155" s="277"/>
      <c r="CG155" s="277"/>
      <c r="CH155" s="277"/>
    </row>
    <row r="156" spans="1:86" ht="14.25">
      <c r="A156" s="147"/>
      <c r="B156" s="145" t="s">
        <v>1073</v>
      </c>
      <c r="C156" s="145" t="s">
        <v>1073</v>
      </c>
      <c r="D156" s="145" t="s">
        <v>1073</v>
      </c>
      <c r="E156" s="145" t="s">
        <v>1073</v>
      </c>
      <c r="F156" s="145" t="s">
        <v>1073</v>
      </c>
      <c r="G156" s="145" t="s">
        <v>1073</v>
      </c>
      <c r="H156" s="145" t="s">
        <v>1073</v>
      </c>
      <c r="I156" s="145" t="s">
        <v>1073</v>
      </c>
      <c r="J156" s="145" t="s">
        <v>1073</v>
      </c>
      <c r="K156" s="145" t="s">
        <v>1073</v>
      </c>
      <c r="L156" s="145" t="s">
        <v>1073</v>
      </c>
      <c r="M156" s="145" t="s">
        <v>1073</v>
      </c>
      <c r="N156" s="145" t="s">
        <v>1073</v>
      </c>
      <c r="O156" s="136" t="s">
        <v>1073</v>
      </c>
      <c r="P156" s="136" t="s">
        <v>1073</v>
      </c>
      <c r="Q156" s="136" t="s">
        <v>1073</v>
      </c>
      <c r="R156" s="136" t="s">
        <v>1073</v>
      </c>
      <c r="S156" s="136" t="s">
        <v>1073</v>
      </c>
      <c r="T156" s="136" t="s">
        <v>1073</v>
      </c>
      <c r="U156" s="136" t="s">
        <v>1073</v>
      </c>
      <c r="V156" s="136" t="s">
        <v>1073</v>
      </c>
      <c r="W156" s="136" t="s">
        <v>1073</v>
      </c>
      <c r="X156" s="138" t="str">
        <f>IF(Configurator!$D$26&lt;"E"," ","-955")</f>
        <v>-955</v>
      </c>
      <c r="Y156" s="138" t="str">
        <f>IF(Configurator!$D$26&lt;"E"," ","-955")</f>
        <v>-955</v>
      </c>
      <c r="Z156" s="138" t="str">
        <f>IF(Configurator!$D$26&lt;"E"," ","-955")</f>
        <v>-955</v>
      </c>
      <c r="AA156" s="138" t="str">
        <f>IF(Configurator!$D$26&lt;"E"," ","-955")</f>
        <v>-955</v>
      </c>
      <c r="AB156" s="138" t="str">
        <f>IF(Configurator!$D$26&lt;"E"," ","-955")</f>
        <v>-955</v>
      </c>
      <c r="AC156" s="138" t="str">
        <f>IF(Configurator!$D$26&lt;"E"," ","-955")</f>
        <v>-955</v>
      </c>
      <c r="AD156" s="138" t="str">
        <f>IF(Configurator!$D$26&lt;"E"," ","-955")</f>
        <v>-955</v>
      </c>
      <c r="AE156" s="138" t="str">
        <f>IF(Configurator!$D$26&lt;"E"," ","-955")</f>
        <v>-955</v>
      </c>
      <c r="AF156" s="138" t="str">
        <f>IF(Configurator!$D$26&lt;"E"," ","-955")</f>
        <v>-955</v>
      </c>
      <c r="AG156" s="138" t="str">
        <f>IF(Configurator!$D$26&lt;"E"," ","-955")</f>
        <v>-955</v>
      </c>
      <c r="AH156" s="138" t="str">
        <f>IF(Configurator!$D$26&lt;"E"," ","-955")</f>
        <v>-955</v>
      </c>
      <c r="AI156" s="138" t="str">
        <f>IF(Configurator!$D$26&lt;"E"," ","-955")</f>
        <v>-955</v>
      </c>
      <c r="AJ156" s="138" t="str">
        <f>IF(Configurator!$D$26&lt;"E"," ","-955")</f>
        <v>-955</v>
      </c>
      <c r="AK156" s="138" t="str">
        <f>IF(Configurator!$D$26&lt;"E"," ","-955")</f>
        <v>-955</v>
      </c>
      <c r="AL156" s="138" t="str">
        <f>IF(Configurator!$D$26&lt;"E"," ","-955")</f>
        <v>-955</v>
      </c>
      <c r="AM156" s="138" t="str">
        <f>IF(Configurator!$D$26&lt;"E"," ","-955")</f>
        <v>-955</v>
      </c>
      <c r="AN156" s="138" t="str">
        <f>IF(Configurator!$D$26&lt;"E"," ","-955")</f>
        <v>-955</v>
      </c>
      <c r="AO156" s="138" t="str">
        <f>IF(Configurator!$D$26&lt;"E"," ","-955")</f>
        <v>-955</v>
      </c>
      <c r="AP156" s="138" t="str">
        <f>IF(Configurator!$D$26&lt;"E"," ","-955")</f>
        <v>-955</v>
      </c>
      <c r="AQ156" s="138" t="str">
        <f>IF(Configurator!$D$26&lt;"E"," ","-955")</f>
        <v>-955</v>
      </c>
      <c r="AR156" s="138" t="str">
        <f>IF(Configurator!$D$26&lt;"E"," ","-955")</f>
        <v>-955</v>
      </c>
      <c r="AS156" s="138" t="str">
        <f>IF(Configurator!$D$26&lt;"E"," ","-955")</f>
        <v>-955</v>
      </c>
      <c r="AT156" s="138" t="str">
        <f>IF(Configurator!$D$26&lt;"E"," ","-955")</f>
        <v>-955</v>
      </c>
      <c r="AU156" s="138" t="str">
        <f>IF(Configurator!$D$26&lt;"E"," ","-955")</f>
        <v>-955</v>
      </c>
      <c r="AV156" s="138" t="str">
        <f>IF(Configurator!$D$26&lt;"E"," ","-955")</f>
        <v>-955</v>
      </c>
      <c r="AW156" s="138" t="str">
        <f>IF(Configurator!$D$26&lt;"E"," ","-955")</f>
        <v>-955</v>
      </c>
      <c r="AX156" s="138" t="str">
        <f>IF(Configurator!$D$26&lt;"E"," ","-955")</f>
        <v>-955</v>
      </c>
      <c r="AY156" s="138" t="str">
        <f>IF(Configurator!$D$26&lt;"E"," ","-955")</f>
        <v>-955</v>
      </c>
      <c r="AZ156" s="138" t="str">
        <f>IF(Configurator!$D$26&lt;"E"," ","-955")</f>
        <v>-955</v>
      </c>
      <c r="BA156" s="138" t="str">
        <f>IF(Configurator!$D$26&lt;"E"," ","-955")</f>
        <v>-955</v>
      </c>
      <c r="BB156" s="136" t="s">
        <v>878</v>
      </c>
      <c r="BC156" s="136" t="s">
        <v>878</v>
      </c>
      <c r="BD156" s="136" t="s">
        <v>878</v>
      </c>
      <c r="BE156" s="136" t="s">
        <v>878</v>
      </c>
      <c r="BF156" s="136" t="s">
        <v>878</v>
      </c>
      <c r="BG156" s="136" t="s">
        <v>878</v>
      </c>
      <c r="BH156" s="136" t="s">
        <v>878</v>
      </c>
      <c r="BI156" s="136" t="s">
        <v>878</v>
      </c>
      <c r="BJ156" s="136" t="s">
        <v>878</v>
      </c>
      <c r="BK156" s="136" t="s">
        <v>878</v>
      </c>
      <c r="BL156" s="136" t="s">
        <v>878</v>
      </c>
      <c r="BM156" s="136" t="s">
        <v>878</v>
      </c>
      <c r="BN156" s="136" t="s">
        <v>878</v>
      </c>
      <c r="BO156" s="136" t="s">
        <v>878</v>
      </c>
      <c r="BP156" s="136" t="s">
        <v>878</v>
      </c>
      <c r="BQ156" s="136" t="s">
        <v>878</v>
      </c>
      <c r="BR156" s="136" t="s">
        <v>878</v>
      </c>
      <c r="BS156" s="136" t="s">
        <v>878</v>
      </c>
      <c r="BT156" s="136" t="s">
        <v>878</v>
      </c>
      <c r="BU156" s="136" t="s">
        <v>878</v>
      </c>
      <c r="BV156" s="136" t="s">
        <v>878</v>
      </c>
      <c r="BW156" s="136" t="s">
        <v>878</v>
      </c>
      <c r="BX156" s="136" t="s">
        <v>878</v>
      </c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</row>
    <row r="157" spans="1:86" ht="15">
      <c r="A157" s="130" t="s">
        <v>83</v>
      </c>
      <c r="B157" s="149" t="s">
        <v>1073</v>
      </c>
      <c r="C157" s="149" t="s">
        <v>1073</v>
      </c>
      <c r="D157" s="149" t="s">
        <v>1073</v>
      </c>
      <c r="E157" s="149" t="s">
        <v>1073</v>
      </c>
      <c r="F157" s="149" t="s">
        <v>1073</v>
      </c>
      <c r="G157" s="149" t="s">
        <v>1073</v>
      </c>
      <c r="H157" s="149" t="s">
        <v>1073</v>
      </c>
      <c r="I157" s="149" t="s">
        <v>1073</v>
      </c>
      <c r="J157" s="149" t="s">
        <v>1073</v>
      </c>
      <c r="K157" s="149" t="s">
        <v>1073</v>
      </c>
      <c r="L157" s="149" t="s">
        <v>1073</v>
      </c>
      <c r="M157" s="149" t="s">
        <v>1073</v>
      </c>
      <c r="N157" s="149" t="s">
        <v>1073</v>
      </c>
      <c r="O157" s="149" t="s">
        <v>1073</v>
      </c>
      <c r="P157" s="149" t="s">
        <v>1073</v>
      </c>
      <c r="Q157" s="149" t="s">
        <v>1073</v>
      </c>
      <c r="R157" s="149" t="s">
        <v>1073</v>
      </c>
      <c r="S157" s="149" t="s">
        <v>1073</v>
      </c>
      <c r="T157" s="149" t="s">
        <v>1073</v>
      </c>
      <c r="U157" s="149" t="s">
        <v>1073</v>
      </c>
      <c r="V157" s="149" t="s">
        <v>1073</v>
      </c>
      <c r="W157" s="149" t="s">
        <v>1073</v>
      </c>
      <c r="X157" s="149" t="s">
        <v>1073</v>
      </c>
      <c r="Y157" s="149" t="s">
        <v>1073</v>
      </c>
      <c r="Z157" s="149" t="s">
        <v>1073</v>
      </c>
      <c r="AA157" s="149" t="s">
        <v>1073</v>
      </c>
      <c r="AB157" s="149" t="s">
        <v>1073</v>
      </c>
      <c r="AC157" s="149" t="s">
        <v>1073</v>
      </c>
      <c r="AD157" s="149" t="s">
        <v>1073</v>
      </c>
      <c r="AE157" s="149" t="s">
        <v>1073</v>
      </c>
      <c r="AF157" s="149" t="s">
        <v>1073</v>
      </c>
      <c r="AG157" s="149" t="s">
        <v>1073</v>
      </c>
      <c r="AH157" s="149" t="s">
        <v>1073</v>
      </c>
      <c r="AI157" s="149" t="s">
        <v>1073</v>
      </c>
      <c r="AJ157" s="149" t="s">
        <v>1073</v>
      </c>
      <c r="AK157" s="149" t="s">
        <v>1073</v>
      </c>
      <c r="AL157" s="149" t="s">
        <v>1073</v>
      </c>
      <c r="AM157" s="149" t="s">
        <v>1073</v>
      </c>
      <c r="AN157" s="149" t="s">
        <v>1073</v>
      </c>
      <c r="AO157" s="149" t="s">
        <v>1073</v>
      </c>
      <c r="AP157" s="149" t="s">
        <v>1073</v>
      </c>
      <c r="AQ157" s="149" t="s">
        <v>1073</v>
      </c>
      <c r="AR157" s="149" t="s">
        <v>1073</v>
      </c>
      <c r="AS157" s="149" t="s">
        <v>1073</v>
      </c>
      <c r="AT157" s="149" t="s">
        <v>1073</v>
      </c>
      <c r="AU157" s="149" t="s">
        <v>1073</v>
      </c>
      <c r="AV157" s="149" t="s">
        <v>1073</v>
      </c>
      <c r="AW157" s="149" t="s">
        <v>1073</v>
      </c>
      <c r="AX157" s="149" t="s">
        <v>1073</v>
      </c>
      <c r="AY157" s="149" t="s">
        <v>1073</v>
      </c>
      <c r="AZ157" s="149" t="s">
        <v>1073</v>
      </c>
      <c r="BA157" s="149" t="s">
        <v>1073</v>
      </c>
      <c r="BB157" s="149" t="s">
        <v>1073</v>
      </c>
      <c r="BC157" s="149" t="s">
        <v>1073</v>
      </c>
      <c r="BD157" s="149" t="s">
        <v>1073</v>
      </c>
      <c r="BE157" s="149" t="s">
        <v>1073</v>
      </c>
      <c r="BF157" s="149" t="s">
        <v>1073</v>
      </c>
      <c r="BG157" s="149" t="s">
        <v>1073</v>
      </c>
      <c r="BH157" s="149" t="s">
        <v>1073</v>
      </c>
      <c r="BI157" s="149" t="s">
        <v>1073</v>
      </c>
      <c r="BJ157" s="149" t="s">
        <v>1073</v>
      </c>
      <c r="BK157" s="149" t="s">
        <v>1073</v>
      </c>
      <c r="BL157" s="149" t="s">
        <v>1073</v>
      </c>
      <c r="BM157" s="149" t="s">
        <v>1073</v>
      </c>
      <c r="BN157" s="149" t="s">
        <v>1073</v>
      </c>
      <c r="BO157" s="149" t="s">
        <v>1073</v>
      </c>
      <c r="BP157" s="149" t="s">
        <v>1073</v>
      </c>
      <c r="BQ157" s="149" t="s">
        <v>1073</v>
      </c>
      <c r="BR157" s="149" t="s">
        <v>1073</v>
      </c>
      <c r="BS157" s="149" t="s">
        <v>1073</v>
      </c>
      <c r="BT157" s="149" t="s">
        <v>1073</v>
      </c>
      <c r="BU157" s="149" t="s">
        <v>1073</v>
      </c>
      <c r="BV157" s="149" t="s">
        <v>1073</v>
      </c>
      <c r="BW157" s="149" t="s">
        <v>1073</v>
      </c>
      <c r="BX157" s="149" t="s">
        <v>1073</v>
      </c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</row>
    <row r="158" spans="1:86" ht="14.25">
      <c r="A158" s="140"/>
      <c r="B158" s="150" t="s">
        <v>1073</v>
      </c>
      <c r="C158" s="150" t="s">
        <v>1073</v>
      </c>
      <c r="D158" s="150" t="s">
        <v>1073</v>
      </c>
      <c r="E158" s="150" t="s">
        <v>1073</v>
      </c>
      <c r="F158" s="150" t="s">
        <v>1073</v>
      </c>
      <c r="G158" s="150" t="s">
        <v>1073</v>
      </c>
      <c r="H158" s="150" t="s">
        <v>1073</v>
      </c>
      <c r="I158" s="150" t="s">
        <v>1073</v>
      </c>
      <c r="J158" s="150" t="s">
        <v>1073</v>
      </c>
      <c r="K158" s="150" t="s">
        <v>1073</v>
      </c>
      <c r="L158" s="150" t="s">
        <v>1073</v>
      </c>
      <c r="M158" s="150" t="s">
        <v>1073</v>
      </c>
      <c r="N158" s="150" t="s">
        <v>1073</v>
      </c>
      <c r="O158" s="150" t="s">
        <v>1073</v>
      </c>
      <c r="P158" s="150" t="s">
        <v>1073</v>
      </c>
      <c r="Q158" s="150" t="s">
        <v>1073</v>
      </c>
      <c r="R158" s="150" t="s">
        <v>1073</v>
      </c>
      <c r="S158" s="150" t="s">
        <v>1073</v>
      </c>
      <c r="T158" s="150" t="s">
        <v>1073</v>
      </c>
      <c r="U158" s="150" t="s">
        <v>1073</v>
      </c>
      <c r="V158" s="150" t="s">
        <v>1073</v>
      </c>
      <c r="W158" s="150" t="s">
        <v>1073</v>
      </c>
      <c r="X158" s="150" t="s">
        <v>1073</v>
      </c>
      <c r="Y158" s="150" t="s">
        <v>1073</v>
      </c>
      <c r="Z158" s="150" t="s">
        <v>1073</v>
      </c>
      <c r="AA158" s="150" t="s">
        <v>1073</v>
      </c>
      <c r="AB158" s="150" t="s">
        <v>1073</v>
      </c>
      <c r="AC158" s="150" t="s">
        <v>1073</v>
      </c>
      <c r="AD158" s="150" t="s">
        <v>1073</v>
      </c>
      <c r="AE158" s="150" t="s">
        <v>1073</v>
      </c>
      <c r="AF158" s="150" t="s">
        <v>1073</v>
      </c>
      <c r="AG158" s="150" t="s">
        <v>1073</v>
      </c>
      <c r="AH158" s="150" t="s">
        <v>1073</v>
      </c>
      <c r="AI158" s="150" t="s">
        <v>1073</v>
      </c>
      <c r="AJ158" s="150" t="s">
        <v>1073</v>
      </c>
      <c r="AK158" s="150" t="s">
        <v>1073</v>
      </c>
      <c r="AL158" s="150" t="s">
        <v>1073</v>
      </c>
      <c r="AM158" s="150" t="s">
        <v>1073</v>
      </c>
      <c r="AN158" s="150" t="s">
        <v>1073</v>
      </c>
      <c r="AO158" s="150" t="s">
        <v>1073</v>
      </c>
      <c r="AP158" s="150" t="s">
        <v>1073</v>
      </c>
      <c r="AQ158" s="150" t="s">
        <v>1073</v>
      </c>
      <c r="AR158" s="150" t="s">
        <v>1073</v>
      </c>
      <c r="AS158" s="150" t="s">
        <v>1073</v>
      </c>
      <c r="AT158" s="150" t="s">
        <v>1073</v>
      </c>
      <c r="AU158" s="150" t="s">
        <v>1073</v>
      </c>
      <c r="AV158" s="150" t="s">
        <v>1073</v>
      </c>
      <c r="AW158" s="150" t="s">
        <v>1073</v>
      </c>
      <c r="AX158" s="150" t="s">
        <v>1073</v>
      </c>
      <c r="AY158" s="150" t="s">
        <v>1073</v>
      </c>
      <c r="AZ158" s="150" t="s">
        <v>1073</v>
      </c>
      <c r="BA158" s="150" t="s">
        <v>1073</v>
      </c>
      <c r="BB158" s="150" t="s">
        <v>1073</v>
      </c>
      <c r="BC158" s="150" t="s">
        <v>1073</v>
      </c>
      <c r="BD158" s="150" t="s">
        <v>1073</v>
      </c>
      <c r="BE158" s="150" t="s">
        <v>1073</v>
      </c>
      <c r="BF158" s="150" t="s">
        <v>1073</v>
      </c>
      <c r="BG158" s="150" t="s">
        <v>1073</v>
      </c>
      <c r="BH158" s="150" t="s">
        <v>1073</v>
      </c>
      <c r="BI158" s="150" t="s">
        <v>1073</v>
      </c>
      <c r="BJ158" s="150" t="s">
        <v>1073</v>
      </c>
      <c r="BK158" s="150" t="s">
        <v>1073</v>
      </c>
      <c r="BL158" s="150" t="s">
        <v>1073</v>
      </c>
      <c r="BM158" s="150" t="s">
        <v>1073</v>
      </c>
      <c r="BN158" s="150" t="s">
        <v>1073</v>
      </c>
      <c r="BO158" s="150" t="s">
        <v>1073</v>
      </c>
      <c r="BP158" s="150" t="s">
        <v>1073</v>
      </c>
      <c r="BQ158" s="150" t="s">
        <v>1073</v>
      </c>
      <c r="BR158" s="150" t="s">
        <v>1073</v>
      </c>
      <c r="BS158" s="150" t="s">
        <v>1073</v>
      </c>
      <c r="BT158" s="150" t="s">
        <v>1073</v>
      </c>
      <c r="BU158" s="150" t="s">
        <v>1073</v>
      </c>
      <c r="BV158" s="150" t="s">
        <v>1073</v>
      </c>
      <c r="BW158" s="150" t="s">
        <v>1073</v>
      </c>
      <c r="BX158" s="150" t="s">
        <v>1073</v>
      </c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</row>
    <row r="159" spans="1:86" ht="14.25">
      <c r="A159" s="140"/>
      <c r="B159" s="150" t="s">
        <v>1073</v>
      </c>
      <c r="C159" s="150" t="s">
        <v>1073</v>
      </c>
      <c r="D159" s="150" t="s">
        <v>1073</v>
      </c>
      <c r="E159" s="150" t="s">
        <v>1073</v>
      </c>
      <c r="F159" s="150" t="s">
        <v>1073</v>
      </c>
      <c r="G159" s="150" t="s">
        <v>1073</v>
      </c>
      <c r="H159" s="150" t="s">
        <v>1073</v>
      </c>
      <c r="I159" s="150" t="s">
        <v>1073</v>
      </c>
      <c r="J159" s="150" t="s">
        <v>1073</v>
      </c>
      <c r="K159" s="150" t="s">
        <v>1073</v>
      </c>
      <c r="L159" s="150" t="s">
        <v>1073</v>
      </c>
      <c r="M159" s="150" t="s">
        <v>1073</v>
      </c>
      <c r="N159" s="150" t="s">
        <v>1073</v>
      </c>
      <c r="O159" s="150" t="s">
        <v>1073</v>
      </c>
      <c r="P159" s="150" t="s">
        <v>1073</v>
      </c>
      <c r="Q159" s="150" t="s">
        <v>1073</v>
      </c>
      <c r="R159" s="150" t="s">
        <v>1073</v>
      </c>
      <c r="S159" s="150" t="s">
        <v>1073</v>
      </c>
      <c r="T159" s="150" t="s">
        <v>1073</v>
      </c>
      <c r="U159" s="150" t="s">
        <v>1073</v>
      </c>
      <c r="V159" s="150" t="s">
        <v>1073</v>
      </c>
      <c r="W159" s="150" t="s">
        <v>1073</v>
      </c>
      <c r="X159" s="150" t="s">
        <v>1073</v>
      </c>
      <c r="Y159" s="150" t="s">
        <v>1073</v>
      </c>
      <c r="Z159" s="150" t="s">
        <v>1073</v>
      </c>
      <c r="AA159" s="150" t="s">
        <v>1073</v>
      </c>
      <c r="AB159" s="150" t="s">
        <v>1073</v>
      </c>
      <c r="AC159" s="150" t="s">
        <v>1073</v>
      </c>
      <c r="AD159" s="150" t="s">
        <v>1073</v>
      </c>
      <c r="AE159" s="150" t="s">
        <v>1073</v>
      </c>
      <c r="AF159" s="150" t="s">
        <v>1073</v>
      </c>
      <c r="AG159" s="150" t="s">
        <v>1073</v>
      </c>
      <c r="AH159" s="150" t="s">
        <v>1073</v>
      </c>
      <c r="AI159" s="150" t="s">
        <v>1073</v>
      </c>
      <c r="AJ159" s="150" t="s">
        <v>1073</v>
      </c>
      <c r="AK159" s="150" t="s">
        <v>1073</v>
      </c>
      <c r="AL159" s="150" t="s">
        <v>1073</v>
      </c>
      <c r="AM159" s="150" t="s">
        <v>1073</v>
      </c>
      <c r="AN159" s="150" t="s">
        <v>1073</v>
      </c>
      <c r="AO159" s="150" t="s">
        <v>1073</v>
      </c>
      <c r="AP159" s="150" t="s">
        <v>1073</v>
      </c>
      <c r="AQ159" s="150" t="s">
        <v>1073</v>
      </c>
      <c r="AR159" s="150" t="s">
        <v>1073</v>
      </c>
      <c r="AS159" s="150" t="s">
        <v>1073</v>
      </c>
      <c r="AT159" s="150" t="s">
        <v>1073</v>
      </c>
      <c r="AU159" s="150" t="s">
        <v>1073</v>
      </c>
      <c r="AV159" s="150" t="s">
        <v>1073</v>
      </c>
      <c r="AW159" s="150" t="s">
        <v>1073</v>
      </c>
      <c r="AX159" s="150" t="s">
        <v>1073</v>
      </c>
      <c r="AY159" s="150" t="s">
        <v>1073</v>
      </c>
      <c r="AZ159" s="150" t="s">
        <v>1073</v>
      </c>
      <c r="BA159" s="150" t="s">
        <v>1073</v>
      </c>
      <c r="BB159" s="150" t="s">
        <v>1073</v>
      </c>
      <c r="BC159" s="150" t="s">
        <v>1073</v>
      </c>
      <c r="BD159" s="150" t="s">
        <v>1073</v>
      </c>
      <c r="BE159" s="150" t="s">
        <v>1073</v>
      </c>
      <c r="BF159" s="150" t="s">
        <v>1073</v>
      </c>
      <c r="BG159" s="150" t="s">
        <v>1073</v>
      </c>
      <c r="BH159" s="150" t="s">
        <v>1073</v>
      </c>
      <c r="BI159" s="150" t="s">
        <v>1073</v>
      </c>
      <c r="BJ159" s="150" t="s">
        <v>1073</v>
      </c>
      <c r="BK159" s="150" t="s">
        <v>1073</v>
      </c>
      <c r="BL159" s="150" t="s">
        <v>1073</v>
      </c>
      <c r="BM159" s="150" t="s">
        <v>1073</v>
      </c>
      <c r="BN159" s="150" t="s">
        <v>1073</v>
      </c>
      <c r="BO159" s="150" t="s">
        <v>1073</v>
      </c>
      <c r="BP159" s="150" t="s">
        <v>1073</v>
      </c>
      <c r="BQ159" s="150" t="s">
        <v>1073</v>
      </c>
      <c r="BR159" s="150" t="s">
        <v>1073</v>
      </c>
      <c r="BS159" s="150" t="s">
        <v>1073</v>
      </c>
      <c r="BT159" s="150" t="s">
        <v>1073</v>
      </c>
      <c r="BU159" s="150" t="s">
        <v>1073</v>
      </c>
      <c r="BV159" s="150" t="s">
        <v>1073</v>
      </c>
      <c r="BW159" s="150" t="s">
        <v>1073</v>
      </c>
      <c r="BX159" s="150" t="s">
        <v>1073</v>
      </c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</row>
    <row r="160" spans="1:86" ht="14.25">
      <c r="A160" s="140"/>
      <c r="B160" s="150" t="s">
        <v>66</v>
      </c>
      <c r="C160" s="150" t="s">
        <v>66</v>
      </c>
      <c r="D160" s="150" t="s">
        <v>66</v>
      </c>
      <c r="E160" s="150" t="s">
        <v>66</v>
      </c>
      <c r="F160" s="150" t="s">
        <v>66</v>
      </c>
      <c r="G160" s="150" t="s">
        <v>66</v>
      </c>
      <c r="H160" s="150" t="s">
        <v>66</v>
      </c>
      <c r="I160" s="150" t="s">
        <v>66</v>
      </c>
      <c r="J160" s="150" t="s">
        <v>66</v>
      </c>
      <c r="K160" s="150" t="s">
        <v>66</v>
      </c>
      <c r="L160" s="150" t="s">
        <v>66</v>
      </c>
      <c r="M160" s="150" t="s">
        <v>66</v>
      </c>
      <c r="N160" s="150" t="s">
        <v>66</v>
      </c>
      <c r="O160" s="150" t="s">
        <v>66</v>
      </c>
      <c r="P160" s="150" t="s">
        <v>66</v>
      </c>
      <c r="Q160" s="150" t="s">
        <v>66</v>
      </c>
      <c r="R160" s="150" t="s">
        <v>66</v>
      </c>
      <c r="S160" s="150" t="s">
        <v>66</v>
      </c>
      <c r="T160" s="150" t="s">
        <v>66</v>
      </c>
      <c r="U160" s="150" t="s">
        <v>66</v>
      </c>
      <c r="V160" s="150" t="s">
        <v>66</v>
      </c>
      <c r="W160" s="150" t="s">
        <v>66</v>
      </c>
      <c r="X160" s="150" t="s">
        <v>66</v>
      </c>
      <c r="Y160" s="150" t="s">
        <v>66</v>
      </c>
      <c r="Z160" s="150" t="s">
        <v>66</v>
      </c>
      <c r="AA160" s="150" t="s">
        <v>66</v>
      </c>
      <c r="AB160" s="150" t="s">
        <v>66</v>
      </c>
      <c r="AC160" s="150" t="s">
        <v>66</v>
      </c>
      <c r="AD160" s="150" t="s">
        <v>66</v>
      </c>
      <c r="AE160" s="150" t="s">
        <v>66</v>
      </c>
      <c r="AF160" s="150" t="s">
        <v>66</v>
      </c>
      <c r="AG160" s="150" t="s">
        <v>66</v>
      </c>
      <c r="AH160" s="150" t="s">
        <v>66</v>
      </c>
      <c r="AI160" s="150" t="s">
        <v>66</v>
      </c>
      <c r="AJ160" s="150" t="s">
        <v>66</v>
      </c>
      <c r="AK160" s="150" t="s">
        <v>66</v>
      </c>
      <c r="AL160" s="150" t="s">
        <v>66</v>
      </c>
      <c r="AM160" s="150" t="s">
        <v>66</v>
      </c>
      <c r="AN160" s="150" t="s">
        <v>66</v>
      </c>
      <c r="AO160" s="150" t="s">
        <v>66</v>
      </c>
      <c r="AP160" s="150" t="s">
        <v>66</v>
      </c>
      <c r="AQ160" s="150" t="s">
        <v>66</v>
      </c>
      <c r="AR160" s="150" t="s">
        <v>66</v>
      </c>
      <c r="AS160" s="150" t="s">
        <v>66</v>
      </c>
      <c r="AT160" s="150" t="s">
        <v>66</v>
      </c>
      <c r="AU160" s="150" t="s">
        <v>66</v>
      </c>
      <c r="AV160" s="150" t="s">
        <v>66</v>
      </c>
      <c r="AW160" s="150" t="s">
        <v>66</v>
      </c>
      <c r="AX160" s="150" t="s">
        <v>66</v>
      </c>
      <c r="AY160" s="150" t="s">
        <v>66</v>
      </c>
      <c r="AZ160" s="150" t="s">
        <v>66</v>
      </c>
      <c r="BA160" s="150" t="s">
        <v>66</v>
      </c>
      <c r="BB160" s="150" t="s">
        <v>66</v>
      </c>
      <c r="BC160" s="150" t="s">
        <v>66</v>
      </c>
      <c r="BD160" s="150" t="s">
        <v>66</v>
      </c>
      <c r="BE160" s="150" t="s">
        <v>66</v>
      </c>
      <c r="BF160" s="150" t="s">
        <v>66</v>
      </c>
      <c r="BG160" s="150" t="s">
        <v>66</v>
      </c>
      <c r="BH160" s="150" t="s">
        <v>66</v>
      </c>
      <c r="BI160" s="150" t="s">
        <v>66</v>
      </c>
      <c r="BJ160" s="150" t="s">
        <v>66</v>
      </c>
      <c r="BK160" s="150" t="s">
        <v>66</v>
      </c>
      <c r="BL160" s="150" t="s">
        <v>66</v>
      </c>
      <c r="BM160" s="150" t="s">
        <v>66</v>
      </c>
      <c r="BN160" s="150" t="s">
        <v>66</v>
      </c>
      <c r="BO160" s="150" t="s">
        <v>66</v>
      </c>
      <c r="BP160" s="150" t="s">
        <v>66</v>
      </c>
      <c r="BQ160" s="150" t="s">
        <v>66</v>
      </c>
      <c r="BR160" s="150" t="s">
        <v>66</v>
      </c>
      <c r="BS160" s="150" t="s">
        <v>66</v>
      </c>
      <c r="BT160" s="150" t="s">
        <v>66</v>
      </c>
      <c r="BU160" s="150" t="s">
        <v>66</v>
      </c>
      <c r="BV160" s="150" t="s">
        <v>66</v>
      </c>
      <c r="BW160" s="150" t="s">
        <v>66</v>
      </c>
      <c r="BX160" s="150" t="s">
        <v>66</v>
      </c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</row>
    <row r="161" spans="1:86" ht="14.25">
      <c r="A161" s="140"/>
      <c r="B161" s="150" t="s">
        <v>67</v>
      </c>
      <c r="C161" s="150" t="s">
        <v>67</v>
      </c>
      <c r="D161" s="150" t="s">
        <v>67</v>
      </c>
      <c r="E161" s="150" t="s">
        <v>67</v>
      </c>
      <c r="F161" s="150" t="s">
        <v>67</v>
      </c>
      <c r="G161" s="150" t="s">
        <v>67</v>
      </c>
      <c r="H161" s="150" t="s">
        <v>67</v>
      </c>
      <c r="I161" s="150" t="s">
        <v>67</v>
      </c>
      <c r="J161" s="150" t="s">
        <v>67</v>
      </c>
      <c r="K161" s="150" t="s">
        <v>67</v>
      </c>
      <c r="L161" s="150" t="s">
        <v>67</v>
      </c>
      <c r="M161" s="150" t="s">
        <v>67</v>
      </c>
      <c r="N161" s="150" t="s">
        <v>67</v>
      </c>
      <c r="O161" s="150" t="s">
        <v>67</v>
      </c>
      <c r="P161" s="150" t="s">
        <v>67</v>
      </c>
      <c r="Q161" s="150" t="s">
        <v>67</v>
      </c>
      <c r="R161" s="150" t="s">
        <v>67</v>
      </c>
      <c r="S161" s="150" t="s">
        <v>67</v>
      </c>
      <c r="T161" s="150" t="s">
        <v>67</v>
      </c>
      <c r="U161" s="150" t="s">
        <v>67</v>
      </c>
      <c r="V161" s="150" t="s">
        <v>67</v>
      </c>
      <c r="W161" s="150" t="s">
        <v>67</v>
      </c>
      <c r="X161" s="150" t="s">
        <v>67</v>
      </c>
      <c r="Y161" s="150" t="s">
        <v>67</v>
      </c>
      <c r="Z161" s="150" t="s">
        <v>67</v>
      </c>
      <c r="AA161" s="150" t="s">
        <v>67</v>
      </c>
      <c r="AB161" s="150" t="s">
        <v>67</v>
      </c>
      <c r="AC161" s="150" t="s">
        <v>67</v>
      </c>
      <c r="AD161" s="150" t="s">
        <v>67</v>
      </c>
      <c r="AE161" s="150" t="s">
        <v>67</v>
      </c>
      <c r="AF161" s="150" t="s">
        <v>67</v>
      </c>
      <c r="AG161" s="150" t="s">
        <v>67</v>
      </c>
      <c r="AH161" s="150" t="s">
        <v>67</v>
      </c>
      <c r="AI161" s="150" t="s">
        <v>67</v>
      </c>
      <c r="AJ161" s="150" t="s">
        <v>67</v>
      </c>
      <c r="AK161" s="150" t="s">
        <v>67</v>
      </c>
      <c r="AL161" s="150" t="s">
        <v>67</v>
      </c>
      <c r="AM161" s="150" t="s">
        <v>67</v>
      </c>
      <c r="AN161" s="150" t="s">
        <v>67</v>
      </c>
      <c r="AO161" s="150" t="s">
        <v>67</v>
      </c>
      <c r="AP161" s="150" t="s">
        <v>67</v>
      </c>
      <c r="AQ161" s="150" t="s">
        <v>67</v>
      </c>
      <c r="AR161" s="150" t="s">
        <v>67</v>
      </c>
      <c r="AS161" s="150" t="s">
        <v>67</v>
      </c>
      <c r="AT161" s="150" t="s">
        <v>67</v>
      </c>
      <c r="AU161" s="150" t="s">
        <v>67</v>
      </c>
      <c r="AV161" s="150" t="s">
        <v>67</v>
      </c>
      <c r="AW161" s="150" t="s">
        <v>67</v>
      </c>
      <c r="AX161" s="150" t="s">
        <v>67</v>
      </c>
      <c r="AY161" s="150" t="s">
        <v>67</v>
      </c>
      <c r="AZ161" s="150" t="s">
        <v>67</v>
      </c>
      <c r="BA161" s="150" t="s">
        <v>67</v>
      </c>
      <c r="BB161" s="150" t="s">
        <v>67</v>
      </c>
      <c r="BC161" s="150" t="s">
        <v>67</v>
      </c>
      <c r="BD161" s="150" t="s">
        <v>67</v>
      </c>
      <c r="BE161" s="150" t="s">
        <v>67</v>
      </c>
      <c r="BF161" s="150" t="s">
        <v>67</v>
      </c>
      <c r="BG161" s="150" t="s">
        <v>67</v>
      </c>
      <c r="BH161" s="150" t="s">
        <v>67</v>
      </c>
      <c r="BI161" s="150" t="s">
        <v>67</v>
      </c>
      <c r="BJ161" s="150" t="s">
        <v>67</v>
      </c>
      <c r="BK161" s="150" t="s">
        <v>67</v>
      </c>
      <c r="BL161" s="150" t="s">
        <v>67</v>
      </c>
      <c r="BM161" s="150" t="s">
        <v>67</v>
      </c>
      <c r="BN161" s="150" t="s">
        <v>67</v>
      </c>
      <c r="BO161" s="150" t="s">
        <v>67</v>
      </c>
      <c r="BP161" s="150" t="s">
        <v>67</v>
      </c>
      <c r="BQ161" s="150" t="s">
        <v>67</v>
      </c>
      <c r="BR161" s="150" t="s">
        <v>67</v>
      </c>
      <c r="BS161" s="150" t="s">
        <v>67</v>
      </c>
      <c r="BT161" s="150" t="s">
        <v>67</v>
      </c>
      <c r="BU161" s="150" t="s">
        <v>67</v>
      </c>
      <c r="BV161" s="150" t="s">
        <v>67</v>
      </c>
      <c r="BW161" s="150" t="s">
        <v>67</v>
      </c>
      <c r="BX161" s="150" t="s">
        <v>67</v>
      </c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</row>
    <row r="162" spans="1:86" s="154" customFormat="1" ht="14.25">
      <c r="A162" s="140"/>
      <c r="B162" s="150" t="s">
        <v>68</v>
      </c>
      <c r="C162" s="150" t="s">
        <v>68</v>
      </c>
      <c r="D162" s="150" t="s">
        <v>68</v>
      </c>
      <c r="E162" s="150" t="s">
        <v>68</v>
      </c>
      <c r="F162" s="150" t="s">
        <v>68</v>
      </c>
      <c r="G162" s="150" t="s">
        <v>68</v>
      </c>
      <c r="H162" s="150" t="s">
        <v>68</v>
      </c>
      <c r="I162" s="150" t="s">
        <v>68</v>
      </c>
      <c r="J162" s="150" t="s">
        <v>68</v>
      </c>
      <c r="K162" s="150" t="s">
        <v>68</v>
      </c>
      <c r="L162" s="150" t="s">
        <v>68</v>
      </c>
      <c r="M162" s="150" t="s">
        <v>68</v>
      </c>
      <c r="N162" s="150" t="s">
        <v>68</v>
      </c>
      <c r="O162" s="150" t="s">
        <v>68</v>
      </c>
      <c r="P162" s="150" t="s">
        <v>68</v>
      </c>
      <c r="Q162" s="150" t="s">
        <v>68</v>
      </c>
      <c r="R162" s="150" t="s">
        <v>68</v>
      </c>
      <c r="S162" s="150" t="s">
        <v>68</v>
      </c>
      <c r="T162" s="150" t="s">
        <v>68</v>
      </c>
      <c r="U162" s="150" t="s">
        <v>68</v>
      </c>
      <c r="V162" s="150" t="s">
        <v>68</v>
      </c>
      <c r="W162" s="150" t="s">
        <v>68</v>
      </c>
      <c r="X162" s="150" t="s">
        <v>68</v>
      </c>
      <c r="Y162" s="150" t="s">
        <v>68</v>
      </c>
      <c r="Z162" s="150" t="s">
        <v>68</v>
      </c>
      <c r="AA162" s="150" t="s">
        <v>68</v>
      </c>
      <c r="AB162" s="150" t="s">
        <v>68</v>
      </c>
      <c r="AC162" s="150" t="s">
        <v>68</v>
      </c>
      <c r="AD162" s="150" t="s">
        <v>68</v>
      </c>
      <c r="AE162" s="150" t="s">
        <v>68</v>
      </c>
      <c r="AF162" s="150" t="s">
        <v>68</v>
      </c>
      <c r="AG162" s="150" t="s">
        <v>68</v>
      </c>
      <c r="AH162" s="150" t="s">
        <v>68</v>
      </c>
      <c r="AI162" s="150" t="s">
        <v>68</v>
      </c>
      <c r="AJ162" s="150" t="s">
        <v>68</v>
      </c>
      <c r="AK162" s="150" t="s">
        <v>68</v>
      </c>
      <c r="AL162" s="150" t="s">
        <v>68</v>
      </c>
      <c r="AM162" s="150" t="s">
        <v>68</v>
      </c>
      <c r="AN162" s="150" t="s">
        <v>68</v>
      </c>
      <c r="AO162" s="150" t="s">
        <v>68</v>
      </c>
      <c r="AP162" s="150" t="s">
        <v>68</v>
      </c>
      <c r="AQ162" s="150" t="s">
        <v>68</v>
      </c>
      <c r="AR162" s="150" t="s">
        <v>68</v>
      </c>
      <c r="AS162" s="150" t="s">
        <v>68</v>
      </c>
      <c r="AT162" s="150" t="s">
        <v>68</v>
      </c>
      <c r="AU162" s="150" t="s">
        <v>68</v>
      </c>
      <c r="AV162" s="150" t="s">
        <v>68</v>
      </c>
      <c r="AW162" s="150" t="s">
        <v>68</v>
      </c>
      <c r="AX162" s="150" t="s">
        <v>68</v>
      </c>
      <c r="AY162" s="150" t="s">
        <v>68</v>
      </c>
      <c r="AZ162" s="150" t="s">
        <v>68</v>
      </c>
      <c r="BA162" s="150" t="s">
        <v>68</v>
      </c>
      <c r="BB162" s="150" t="s">
        <v>68</v>
      </c>
      <c r="BC162" s="150" t="s">
        <v>68</v>
      </c>
      <c r="BD162" s="150" t="s">
        <v>68</v>
      </c>
      <c r="BE162" s="150" t="s">
        <v>68</v>
      </c>
      <c r="BF162" s="150" t="s">
        <v>68</v>
      </c>
      <c r="BG162" s="150" t="s">
        <v>68</v>
      </c>
      <c r="BH162" s="150" t="s">
        <v>68</v>
      </c>
      <c r="BI162" s="150" t="s">
        <v>68</v>
      </c>
      <c r="BJ162" s="150" t="s">
        <v>68</v>
      </c>
      <c r="BK162" s="150" t="s">
        <v>68</v>
      </c>
      <c r="BL162" s="150" t="s">
        <v>68</v>
      </c>
      <c r="BM162" s="150" t="s">
        <v>68</v>
      </c>
      <c r="BN162" s="150" t="s">
        <v>68</v>
      </c>
      <c r="BO162" s="150" t="s">
        <v>68</v>
      </c>
      <c r="BP162" s="150" t="s">
        <v>68</v>
      </c>
      <c r="BQ162" s="150" t="s">
        <v>68</v>
      </c>
      <c r="BR162" s="150" t="s">
        <v>68</v>
      </c>
      <c r="BS162" s="150" t="s">
        <v>68</v>
      </c>
      <c r="BT162" s="150" t="s">
        <v>68</v>
      </c>
      <c r="BU162" s="150" t="s">
        <v>68</v>
      </c>
      <c r="BV162" s="150" t="s">
        <v>68</v>
      </c>
      <c r="BW162" s="150" t="s">
        <v>68</v>
      </c>
      <c r="BX162" s="150" t="s">
        <v>68</v>
      </c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</row>
    <row r="163" spans="1:86" ht="14.25">
      <c r="A163" s="140"/>
      <c r="B163" s="150" t="s">
        <v>1073</v>
      </c>
      <c r="C163" s="150" t="s">
        <v>1073</v>
      </c>
      <c r="D163" s="150" t="s">
        <v>1073</v>
      </c>
      <c r="E163" s="150" t="s">
        <v>1073</v>
      </c>
      <c r="F163" s="150" t="s">
        <v>1073</v>
      </c>
      <c r="G163" s="150" t="s">
        <v>1073</v>
      </c>
      <c r="H163" s="150" t="s">
        <v>1073</v>
      </c>
      <c r="I163" s="150" t="s">
        <v>1073</v>
      </c>
      <c r="J163" s="150" t="s">
        <v>1073</v>
      </c>
      <c r="K163" s="150" t="s">
        <v>1073</v>
      </c>
      <c r="L163" s="150" t="s">
        <v>1073</v>
      </c>
      <c r="M163" s="150" t="s">
        <v>1073</v>
      </c>
      <c r="N163" s="150" t="s">
        <v>1073</v>
      </c>
      <c r="O163" s="150" t="s">
        <v>1073</v>
      </c>
      <c r="P163" s="150" t="s">
        <v>1073</v>
      </c>
      <c r="Q163" s="150" t="s">
        <v>1073</v>
      </c>
      <c r="R163" s="150" t="s">
        <v>1073</v>
      </c>
      <c r="S163" s="150" t="s">
        <v>1073</v>
      </c>
      <c r="T163" s="150" t="s">
        <v>1073</v>
      </c>
      <c r="U163" s="150" t="s">
        <v>1073</v>
      </c>
      <c r="V163" s="150" t="s">
        <v>1073</v>
      </c>
      <c r="W163" s="150" t="s">
        <v>1073</v>
      </c>
      <c r="X163" s="150" t="s">
        <v>1073</v>
      </c>
      <c r="Y163" s="150" t="s">
        <v>1073</v>
      </c>
      <c r="Z163" s="150" t="s">
        <v>1073</v>
      </c>
      <c r="AA163" s="150" t="s">
        <v>1073</v>
      </c>
      <c r="AB163" s="150" t="s">
        <v>1073</v>
      </c>
      <c r="AC163" s="150" t="s">
        <v>1073</v>
      </c>
      <c r="AD163" s="150" t="s">
        <v>1073</v>
      </c>
      <c r="AE163" s="150" t="s">
        <v>1073</v>
      </c>
      <c r="AF163" s="150" t="s">
        <v>1073</v>
      </c>
      <c r="AG163" s="150" t="s">
        <v>1000</v>
      </c>
      <c r="AH163" s="150" t="s">
        <v>1073</v>
      </c>
      <c r="AI163" s="150" t="s">
        <v>1073</v>
      </c>
      <c r="AJ163" s="150" t="s">
        <v>1073</v>
      </c>
      <c r="AK163" s="150" t="s">
        <v>1073</v>
      </c>
      <c r="AL163" s="150" t="s">
        <v>1073</v>
      </c>
      <c r="AM163" s="150" t="s">
        <v>1073</v>
      </c>
      <c r="AN163" s="219" t="s">
        <v>68</v>
      </c>
      <c r="AO163" s="219" t="s">
        <v>68</v>
      </c>
      <c r="AP163" s="150" t="s">
        <v>276</v>
      </c>
      <c r="AQ163" s="153" t="s">
        <v>276</v>
      </c>
      <c r="AR163" s="153" t="s">
        <v>276</v>
      </c>
      <c r="AS163" s="225" t="str">
        <f>IF(Configurator!$T$5="5","-***","-945")</f>
        <v>-***</v>
      </c>
      <c r="AT163" s="225" t="str">
        <f>IF(Configurator!$T$5="5","-***","-946")</f>
        <v>-***</v>
      </c>
      <c r="AU163" s="225" t="str">
        <f>IF(Configurator!$T$5="5","-***","-946")</f>
        <v>-***</v>
      </c>
      <c r="AV163" s="225" t="str">
        <f>IF(Configurator!$T$5="5","-***","-***")</f>
        <v>-***</v>
      </c>
      <c r="AW163" s="225" t="str">
        <f>IF(Configurator!$T$5="5","-***","-946")</f>
        <v>-***</v>
      </c>
      <c r="AX163" s="225" t="str">
        <f>IF(Configurator!$T$5="5","-***","-946")</f>
        <v>-***</v>
      </c>
      <c r="AY163" s="225" t="str">
        <f>IF(Configurator!$T$5="5","-***","-946")</f>
        <v>-***</v>
      </c>
      <c r="AZ163" s="225" t="str">
        <f>IF(Configurator!$T$5="5","-***","-946")</f>
        <v>-***</v>
      </c>
      <c r="BA163" s="225" t="str">
        <f>IF(Configurator!$T$5="5","-***","-946")</f>
        <v>-***</v>
      </c>
      <c r="BB163" s="153" t="s">
        <v>1001</v>
      </c>
      <c r="BC163" s="153" t="s">
        <v>1001</v>
      </c>
      <c r="BD163" s="153" t="s">
        <v>1001</v>
      </c>
      <c r="BE163" s="153" t="s">
        <v>1001</v>
      </c>
      <c r="BF163" s="153" t="s">
        <v>1001</v>
      </c>
      <c r="BG163" s="153" t="s">
        <v>1001</v>
      </c>
      <c r="BH163" s="153" t="s">
        <v>1001</v>
      </c>
      <c r="BI163" s="153" t="s">
        <v>1001</v>
      </c>
      <c r="BJ163" s="153" t="s">
        <v>1001</v>
      </c>
      <c r="BK163" s="153" t="s">
        <v>1001</v>
      </c>
      <c r="BL163" s="153" t="s">
        <v>1001</v>
      </c>
      <c r="BM163" s="153" t="s">
        <v>1001</v>
      </c>
      <c r="BN163" s="153" t="s">
        <v>1001</v>
      </c>
      <c r="BO163" s="153" t="s">
        <v>1001</v>
      </c>
      <c r="BP163" s="153" t="s">
        <v>1001</v>
      </c>
      <c r="BQ163" s="153" t="s">
        <v>1001</v>
      </c>
      <c r="BR163" s="153" t="s">
        <v>1001</v>
      </c>
      <c r="BS163" s="153" t="s">
        <v>1001</v>
      </c>
      <c r="BT163" s="153" t="s">
        <v>1001</v>
      </c>
      <c r="BU163" s="153" t="s">
        <v>1001</v>
      </c>
      <c r="BV163" s="153" t="s">
        <v>1001</v>
      </c>
      <c r="BW163" s="153" t="s">
        <v>1001</v>
      </c>
      <c r="BX163" s="153" t="s">
        <v>1001</v>
      </c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</row>
    <row r="164" spans="1:86" ht="14.25">
      <c r="A164" s="151"/>
      <c r="B164" s="152" t="s">
        <v>1073</v>
      </c>
      <c r="C164" s="152" t="s">
        <v>1073</v>
      </c>
      <c r="D164" s="152" t="s">
        <v>1073</v>
      </c>
      <c r="E164" s="152" t="s">
        <v>1073</v>
      </c>
      <c r="F164" s="152" t="s">
        <v>1073</v>
      </c>
      <c r="G164" s="152" t="s">
        <v>1073</v>
      </c>
      <c r="H164" s="152" t="s">
        <v>1073</v>
      </c>
      <c r="I164" s="152" t="s">
        <v>1073</v>
      </c>
      <c r="J164" s="152" t="s">
        <v>1073</v>
      </c>
      <c r="K164" s="152" t="s">
        <v>1073</v>
      </c>
      <c r="L164" s="152" t="s">
        <v>1073</v>
      </c>
      <c r="M164" s="152" t="s">
        <v>1073</v>
      </c>
      <c r="N164" s="152" t="s">
        <v>1073</v>
      </c>
      <c r="O164" s="152" t="s">
        <v>1073</v>
      </c>
      <c r="P164" s="152" t="s">
        <v>1073</v>
      </c>
      <c r="Q164" s="152" t="s">
        <v>1073</v>
      </c>
      <c r="R164" s="152" t="s">
        <v>1073</v>
      </c>
      <c r="S164" s="152" t="s">
        <v>1073</v>
      </c>
      <c r="T164" s="152" t="s">
        <v>1073</v>
      </c>
      <c r="U164" s="152" t="s">
        <v>1073</v>
      </c>
      <c r="V164" s="152" t="s">
        <v>1073</v>
      </c>
      <c r="W164" s="152" t="s">
        <v>1073</v>
      </c>
      <c r="X164" s="152" t="s">
        <v>1073</v>
      </c>
      <c r="Y164" s="152" t="s">
        <v>1073</v>
      </c>
      <c r="Z164" s="152" t="s">
        <v>1073</v>
      </c>
      <c r="AA164" s="152" t="s">
        <v>1073</v>
      </c>
      <c r="AB164" s="152" t="s">
        <v>1073</v>
      </c>
      <c r="AC164" s="152" t="s">
        <v>1073</v>
      </c>
      <c r="AD164" s="152" t="s">
        <v>1073</v>
      </c>
      <c r="AE164" s="152" t="s">
        <v>1073</v>
      </c>
      <c r="AF164" s="152" t="s">
        <v>1073</v>
      </c>
      <c r="AG164" s="152" t="s">
        <v>1001</v>
      </c>
      <c r="AH164" s="152" t="s">
        <v>1073</v>
      </c>
      <c r="AI164" s="152" t="s">
        <v>1073</v>
      </c>
      <c r="AJ164" s="152" t="s">
        <v>1073</v>
      </c>
      <c r="AK164" s="152" t="s">
        <v>1073</v>
      </c>
      <c r="AL164" s="152" t="s">
        <v>1073</v>
      </c>
      <c r="AM164" s="152" t="s">
        <v>1073</v>
      </c>
      <c r="AN164" s="220" t="s">
        <v>68</v>
      </c>
      <c r="AO164" s="220" t="s">
        <v>68</v>
      </c>
      <c r="AP164" s="152" t="s">
        <v>276</v>
      </c>
      <c r="AQ164" s="236" t="s">
        <v>276</v>
      </c>
      <c r="AR164" s="236" t="s">
        <v>276</v>
      </c>
      <c r="AS164" s="226" t="str">
        <f>IF(Configurator!$T$5="5","-***","-946")</f>
        <v>-***</v>
      </c>
      <c r="AT164" s="226" t="str">
        <f>IF(Configurator!$T$5="5","-***","-947")</f>
        <v>-***</v>
      </c>
      <c r="AU164" s="226" t="str">
        <f>IF(Configurator!$T$5="5","-***","-947")</f>
        <v>-***</v>
      </c>
      <c r="AV164" s="226" t="str">
        <f>IF(Configurator!$T$5="5","-***","-***")</f>
        <v>-***</v>
      </c>
      <c r="AW164" s="226" t="str">
        <f>IF(Configurator!$T$5="5","-***","-947")</f>
        <v>-***</v>
      </c>
      <c r="AX164" s="226" t="str">
        <f>IF(Configurator!$T$5="5","-***","-947")</f>
        <v>-***</v>
      </c>
      <c r="AY164" s="226" t="str">
        <f>IF(Configurator!$T$5="5","-***","-947")</f>
        <v>-***</v>
      </c>
      <c r="AZ164" s="226" t="str">
        <f>IF(Configurator!$T$5="5","-***","-947")</f>
        <v>-***</v>
      </c>
      <c r="BA164" s="226" t="str">
        <f>IF(Configurator!$T$5="5","-***","-947")</f>
        <v>-***</v>
      </c>
      <c r="BB164" s="236" t="s">
        <v>879</v>
      </c>
      <c r="BC164" s="236" t="s">
        <v>879</v>
      </c>
      <c r="BD164" s="236" t="s">
        <v>879</v>
      </c>
      <c r="BE164" s="236" t="s">
        <v>879</v>
      </c>
      <c r="BF164" s="236" t="s">
        <v>879</v>
      </c>
      <c r="BG164" s="236" t="s">
        <v>879</v>
      </c>
      <c r="BH164" s="236" t="s">
        <v>879</v>
      </c>
      <c r="BI164" s="236" t="s">
        <v>879</v>
      </c>
      <c r="BJ164" s="236" t="s">
        <v>879</v>
      </c>
      <c r="BK164" s="236" t="s">
        <v>879</v>
      </c>
      <c r="BL164" s="236" t="s">
        <v>879</v>
      </c>
      <c r="BM164" s="236" t="s">
        <v>879</v>
      </c>
      <c r="BN164" s="236" t="s">
        <v>879</v>
      </c>
      <c r="BO164" s="236" t="s">
        <v>879</v>
      </c>
      <c r="BP164" s="236" t="s">
        <v>879</v>
      </c>
      <c r="BQ164" s="236" t="s">
        <v>879</v>
      </c>
      <c r="BR164" s="236" t="s">
        <v>879</v>
      </c>
      <c r="BS164" s="236" t="s">
        <v>879</v>
      </c>
      <c r="BT164" s="236" t="s">
        <v>879</v>
      </c>
      <c r="BU164" s="236" t="s">
        <v>879</v>
      </c>
      <c r="BV164" s="236" t="s">
        <v>879</v>
      </c>
      <c r="BW164" s="236" t="s">
        <v>879</v>
      </c>
      <c r="BX164" s="236" t="s">
        <v>879</v>
      </c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</row>
    <row r="165" spans="1:86" ht="14.25">
      <c r="A165" s="140"/>
      <c r="B165" s="150">
        <v>0</v>
      </c>
      <c r="C165" s="150">
        <v>0</v>
      </c>
      <c r="D165" s="150">
        <v>0</v>
      </c>
      <c r="E165" s="150">
        <v>0</v>
      </c>
      <c r="F165" s="150">
        <v>0</v>
      </c>
      <c r="G165" s="150">
        <v>0</v>
      </c>
      <c r="H165" s="150">
        <v>0</v>
      </c>
      <c r="I165" s="150">
        <v>0</v>
      </c>
      <c r="J165" s="150">
        <v>0</v>
      </c>
      <c r="K165" s="150">
        <v>0</v>
      </c>
      <c r="L165" s="150">
        <v>0</v>
      </c>
      <c r="M165" s="150">
        <v>0</v>
      </c>
      <c r="N165" s="150">
        <v>0</v>
      </c>
      <c r="O165" s="150">
        <v>0</v>
      </c>
      <c r="P165" s="150">
        <v>0</v>
      </c>
      <c r="Q165" s="150">
        <v>0</v>
      </c>
      <c r="R165" s="150">
        <v>0</v>
      </c>
      <c r="S165" s="150">
        <v>0</v>
      </c>
      <c r="T165" s="150">
        <v>0</v>
      </c>
      <c r="U165" s="150">
        <v>0</v>
      </c>
      <c r="V165" s="150">
        <v>0</v>
      </c>
      <c r="W165" s="150">
        <v>0</v>
      </c>
      <c r="X165" s="150">
        <v>0</v>
      </c>
      <c r="Y165" s="150">
        <v>0</v>
      </c>
      <c r="Z165" s="150">
        <v>0</v>
      </c>
      <c r="AA165" s="150">
        <v>0</v>
      </c>
      <c r="AB165" s="150">
        <v>0</v>
      </c>
      <c r="AC165" s="150">
        <v>0</v>
      </c>
      <c r="AD165" s="150">
        <v>0</v>
      </c>
      <c r="AE165" s="150">
        <v>0</v>
      </c>
      <c r="AF165" s="150">
        <v>0</v>
      </c>
      <c r="AG165" s="150">
        <v>0</v>
      </c>
      <c r="AH165" s="150">
        <v>0</v>
      </c>
      <c r="AI165" s="150">
        <v>0</v>
      </c>
      <c r="AJ165" s="150">
        <v>0</v>
      </c>
      <c r="AK165" s="150">
        <v>0</v>
      </c>
      <c r="AL165" s="150">
        <v>0</v>
      </c>
      <c r="AM165" s="150">
        <v>0</v>
      </c>
      <c r="AN165" s="149">
        <v>0</v>
      </c>
      <c r="AO165" s="149">
        <v>0</v>
      </c>
      <c r="AP165" s="150">
        <v>0</v>
      </c>
      <c r="AQ165" s="150">
        <v>0</v>
      </c>
      <c r="AR165" s="150">
        <v>0</v>
      </c>
      <c r="AS165" s="150">
        <v>0</v>
      </c>
      <c r="AT165" s="150">
        <v>0</v>
      </c>
      <c r="AU165" s="150">
        <v>0</v>
      </c>
      <c r="AV165" s="150">
        <v>0</v>
      </c>
      <c r="AW165" s="150">
        <v>0</v>
      </c>
      <c r="AX165" s="150">
        <v>0</v>
      </c>
      <c r="AY165" s="150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0">
        <v>0</v>
      </c>
      <c r="BJ165" s="150">
        <v>0</v>
      </c>
      <c r="BK165" s="150">
        <v>0</v>
      </c>
      <c r="BL165" s="150">
        <v>0</v>
      </c>
      <c r="BM165" s="150">
        <v>0</v>
      </c>
      <c r="BN165" s="150">
        <v>0</v>
      </c>
      <c r="BO165" s="150">
        <v>0</v>
      </c>
      <c r="BP165" s="150">
        <v>0</v>
      </c>
      <c r="BQ165" s="150">
        <v>0</v>
      </c>
      <c r="BR165" s="150">
        <v>0</v>
      </c>
      <c r="BS165" s="150">
        <v>0</v>
      </c>
      <c r="BT165" s="150">
        <v>0</v>
      </c>
      <c r="BU165" s="150">
        <v>0</v>
      </c>
      <c r="BV165" s="150">
        <v>0</v>
      </c>
      <c r="BW165" s="150">
        <v>0</v>
      </c>
      <c r="BX165" s="150">
        <v>0</v>
      </c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</row>
    <row r="166" spans="1:86" ht="14.25">
      <c r="A166" s="140"/>
      <c r="B166" s="150">
        <v>0</v>
      </c>
      <c r="C166" s="150">
        <v>0</v>
      </c>
      <c r="D166" s="150">
        <v>0</v>
      </c>
      <c r="E166" s="150">
        <v>0</v>
      </c>
      <c r="F166" s="150">
        <v>0</v>
      </c>
      <c r="G166" s="150">
        <v>0</v>
      </c>
      <c r="H166" s="150">
        <v>0</v>
      </c>
      <c r="I166" s="150">
        <v>0</v>
      </c>
      <c r="J166" s="150">
        <v>0</v>
      </c>
      <c r="K166" s="150">
        <v>0</v>
      </c>
      <c r="L166" s="150">
        <v>0</v>
      </c>
      <c r="M166" s="150">
        <v>0</v>
      </c>
      <c r="N166" s="150">
        <v>0</v>
      </c>
      <c r="O166" s="150">
        <v>0</v>
      </c>
      <c r="P166" s="150">
        <v>0</v>
      </c>
      <c r="Q166" s="150">
        <v>0</v>
      </c>
      <c r="R166" s="150">
        <v>0</v>
      </c>
      <c r="S166" s="150">
        <v>0</v>
      </c>
      <c r="T166" s="150">
        <v>0</v>
      </c>
      <c r="U166" s="150">
        <v>0</v>
      </c>
      <c r="V166" s="150">
        <v>0</v>
      </c>
      <c r="W166" s="150">
        <v>0</v>
      </c>
      <c r="X166" s="150">
        <v>0</v>
      </c>
      <c r="Y166" s="150">
        <v>0</v>
      </c>
      <c r="Z166" s="150">
        <v>0</v>
      </c>
      <c r="AA166" s="150">
        <v>0</v>
      </c>
      <c r="AB166" s="150">
        <v>0</v>
      </c>
      <c r="AC166" s="150">
        <v>0</v>
      </c>
      <c r="AD166" s="150">
        <v>0</v>
      </c>
      <c r="AE166" s="150">
        <v>0</v>
      </c>
      <c r="AF166" s="150">
        <v>0</v>
      </c>
      <c r="AG166" s="150">
        <v>0</v>
      </c>
      <c r="AH166" s="150">
        <v>0</v>
      </c>
      <c r="AI166" s="150">
        <v>0</v>
      </c>
      <c r="AJ166" s="150">
        <v>0</v>
      </c>
      <c r="AK166" s="150">
        <v>0</v>
      </c>
      <c r="AL166" s="150">
        <v>0</v>
      </c>
      <c r="AM166" s="150">
        <v>0</v>
      </c>
      <c r="AN166" s="150">
        <v>0</v>
      </c>
      <c r="AO166" s="150">
        <v>0</v>
      </c>
      <c r="AP166" s="150">
        <v>0</v>
      </c>
      <c r="AQ166" s="150">
        <v>0</v>
      </c>
      <c r="AR166" s="150">
        <v>0</v>
      </c>
      <c r="AS166" s="150">
        <v>0</v>
      </c>
      <c r="AT166" s="150">
        <v>0</v>
      </c>
      <c r="AU166" s="150">
        <v>0</v>
      </c>
      <c r="AV166" s="150">
        <v>0</v>
      </c>
      <c r="AW166" s="150">
        <v>0</v>
      </c>
      <c r="AX166" s="150">
        <v>0</v>
      </c>
      <c r="AY166" s="150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0">
        <v>0</v>
      </c>
      <c r="BJ166" s="150">
        <v>0</v>
      </c>
      <c r="BK166" s="150">
        <v>0</v>
      </c>
      <c r="BL166" s="150">
        <v>0</v>
      </c>
      <c r="BM166" s="150">
        <v>0</v>
      </c>
      <c r="BN166" s="150">
        <v>0</v>
      </c>
      <c r="BO166" s="150">
        <v>0</v>
      </c>
      <c r="BP166" s="150">
        <v>0</v>
      </c>
      <c r="BQ166" s="150">
        <v>0</v>
      </c>
      <c r="BR166" s="150">
        <v>0</v>
      </c>
      <c r="BS166" s="150">
        <v>0</v>
      </c>
      <c r="BT166" s="150">
        <v>0</v>
      </c>
      <c r="BU166" s="150">
        <v>0</v>
      </c>
      <c r="BV166" s="150">
        <v>0</v>
      </c>
      <c r="BW166" s="150">
        <v>0</v>
      </c>
      <c r="BX166" s="150">
        <v>0</v>
      </c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</row>
    <row r="167" spans="1:86" ht="14.25">
      <c r="A167" s="140"/>
      <c r="B167" s="150">
        <v>0</v>
      </c>
      <c r="C167" s="150">
        <v>0</v>
      </c>
      <c r="D167" s="150">
        <v>0</v>
      </c>
      <c r="E167" s="150">
        <v>0</v>
      </c>
      <c r="F167" s="150">
        <v>0</v>
      </c>
      <c r="G167" s="150">
        <v>0</v>
      </c>
      <c r="H167" s="150">
        <v>0</v>
      </c>
      <c r="I167" s="150">
        <v>0</v>
      </c>
      <c r="J167" s="150">
        <v>0</v>
      </c>
      <c r="K167" s="150">
        <v>0</v>
      </c>
      <c r="L167" s="150">
        <v>0</v>
      </c>
      <c r="M167" s="150">
        <v>0</v>
      </c>
      <c r="N167" s="150">
        <v>0</v>
      </c>
      <c r="O167" s="150">
        <v>0</v>
      </c>
      <c r="P167" s="150">
        <v>0</v>
      </c>
      <c r="Q167" s="150">
        <v>0</v>
      </c>
      <c r="R167" s="150">
        <v>0</v>
      </c>
      <c r="S167" s="150">
        <v>0</v>
      </c>
      <c r="T167" s="150">
        <v>0</v>
      </c>
      <c r="U167" s="150">
        <v>0</v>
      </c>
      <c r="V167" s="150">
        <v>0</v>
      </c>
      <c r="W167" s="150">
        <v>0</v>
      </c>
      <c r="X167" s="150">
        <v>0</v>
      </c>
      <c r="Y167" s="150">
        <v>0</v>
      </c>
      <c r="Z167" s="150">
        <v>0</v>
      </c>
      <c r="AA167" s="150">
        <v>0</v>
      </c>
      <c r="AB167" s="150">
        <v>0</v>
      </c>
      <c r="AC167" s="150">
        <v>0</v>
      </c>
      <c r="AD167" s="150">
        <v>0</v>
      </c>
      <c r="AE167" s="150">
        <v>0</v>
      </c>
      <c r="AF167" s="150">
        <v>0</v>
      </c>
      <c r="AG167" s="150">
        <v>0</v>
      </c>
      <c r="AH167" s="150">
        <v>0</v>
      </c>
      <c r="AI167" s="150">
        <v>0</v>
      </c>
      <c r="AJ167" s="150">
        <v>0</v>
      </c>
      <c r="AK167" s="150">
        <v>0</v>
      </c>
      <c r="AL167" s="150">
        <v>0</v>
      </c>
      <c r="AM167" s="150">
        <v>0</v>
      </c>
      <c r="AN167" s="150">
        <v>0</v>
      </c>
      <c r="AO167" s="150">
        <v>0</v>
      </c>
      <c r="AP167" s="150">
        <v>0</v>
      </c>
      <c r="AQ167" s="150">
        <v>0</v>
      </c>
      <c r="AR167" s="150">
        <v>0</v>
      </c>
      <c r="AS167" s="150">
        <v>0</v>
      </c>
      <c r="AT167" s="150">
        <v>0</v>
      </c>
      <c r="AU167" s="150">
        <v>0</v>
      </c>
      <c r="AV167" s="150">
        <v>0</v>
      </c>
      <c r="AW167" s="150">
        <v>0</v>
      </c>
      <c r="AX167" s="150">
        <v>0</v>
      </c>
      <c r="AY167" s="150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0">
        <v>0</v>
      </c>
      <c r="BJ167" s="150">
        <v>0</v>
      </c>
      <c r="BK167" s="150">
        <v>0</v>
      </c>
      <c r="BL167" s="150">
        <v>0</v>
      </c>
      <c r="BM167" s="150">
        <v>0</v>
      </c>
      <c r="BN167" s="150">
        <v>0</v>
      </c>
      <c r="BO167" s="150">
        <v>0</v>
      </c>
      <c r="BP167" s="150">
        <v>0</v>
      </c>
      <c r="BQ167" s="150">
        <v>0</v>
      </c>
      <c r="BR167" s="150">
        <v>0</v>
      </c>
      <c r="BS167" s="150">
        <v>0</v>
      </c>
      <c r="BT167" s="150">
        <v>0</v>
      </c>
      <c r="BU167" s="150">
        <v>0</v>
      </c>
      <c r="BV167" s="150">
        <v>0</v>
      </c>
      <c r="BW167" s="150">
        <v>0</v>
      </c>
      <c r="BX167" s="150">
        <v>0</v>
      </c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</row>
    <row r="168" spans="1:86" ht="14.25">
      <c r="A168" s="154"/>
      <c r="B168" s="155" t="s">
        <v>1240</v>
      </c>
      <c r="C168" s="155" t="s">
        <v>1240</v>
      </c>
      <c r="D168" s="155" t="s">
        <v>1240</v>
      </c>
      <c r="E168" s="155" t="s">
        <v>1240</v>
      </c>
      <c r="F168" s="155" t="s">
        <v>1240</v>
      </c>
      <c r="G168" s="155" t="s">
        <v>1240</v>
      </c>
      <c r="H168" s="155" t="s">
        <v>1240</v>
      </c>
      <c r="I168" s="155" t="s">
        <v>1240</v>
      </c>
      <c r="J168" s="155" t="s">
        <v>1240</v>
      </c>
      <c r="K168" s="155" t="s">
        <v>1240</v>
      </c>
      <c r="L168" s="155" t="s">
        <v>1240</v>
      </c>
      <c r="M168" s="155" t="s">
        <v>1240</v>
      </c>
      <c r="N168" s="155" t="s">
        <v>1240</v>
      </c>
      <c r="O168" s="155" t="s">
        <v>1240</v>
      </c>
      <c r="P168" s="155" t="s">
        <v>1240</v>
      </c>
      <c r="Q168" s="155" t="s">
        <v>1240</v>
      </c>
      <c r="R168" s="155" t="s">
        <v>1240</v>
      </c>
      <c r="S168" s="155" t="s">
        <v>1240</v>
      </c>
      <c r="T168" s="155" t="s">
        <v>1240</v>
      </c>
      <c r="U168" s="155" t="s">
        <v>1240</v>
      </c>
      <c r="V168" s="155" t="s">
        <v>1240</v>
      </c>
      <c r="W168" s="155" t="s">
        <v>1240</v>
      </c>
      <c r="X168" s="155" t="s">
        <v>1240</v>
      </c>
      <c r="Y168" s="155" t="s">
        <v>1240</v>
      </c>
      <c r="Z168" s="155" t="s">
        <v>1240</v>
      </c>
      <c r="AA168" s="155" t="s">
        <v>1240</v>
      </c>
      <c r="AB168" s="155" t="s">
        <v>1240</v>
      </c>
      <c r="AC168" s="155" t="s">
        <v>1240</v>
      </c>
      <c r="AD168" s="155" t="s">
        <v>1240</v>
      </c>
      <c r="AE168" s="155" t="s">
        <v>1240</v>
      </c>
      <c r="AF168" s="155" t="s">
        <v>1240</v>
      </c>
      <c r="AG168" s="155" t="s">
        <v>1240</v>
      </c>
      <c r="AH168" s="155" t="s">
        <v>1240</v>
      </c>
      <c r="AI168" s="155" t="s">
        <v>1240</v>
      </c>
      <c r="AJ168" s="155" t="s">
        <v>1240</v>
      </c>
      <c r="AK168" s="155" t="s">
        <v>1240</v>
      </c>
      <c r="AL168" s="155" t="s">
        <v>1240</v>
      </c>
      <c r="AM168" s="155" t="s">
        <v>1240</v>
      </c>
      <c r="AN168" s="155" t="s">
        <v>1240</v>
      </c>
      <c r="AO168" s="155" t="s">
        <v>1240</v>
      </c>
      <c r="AP168" s="155" t="s">
        <v>1240</v>
      </c>
      <c r="AQ168" s="155" t="s">
        <v>1240</v>
      </c>
      <c r="AR168" s="155" t="s">
        <v>1240</v>
      </c>
      <c r="AS168" s="155" t="s">
        <v>1240</v>
      </c>
      <c r="AT168" s="155" t="s">
        <v>1240</v>
      </c>
      <c r="AU168" s="155" t="s">
        <v>1240</v>
      </c>
      <c r="AV168" s="155" t="s">
        <v>1240</v>
      </c>
      <c r="AW168" s="155" t="s">
        <v>1240</v>
      </c>
      <c r="AX168" s="155" t="s">
        <v>1240</v>
      </c>
      <c r="AY168" s="155" t="s">
        <v>1240</v>
      </c>
      <c r="AZ168" s="155" t="s">
        <v>1240</v>
      </c>
      <c r="BA168" s="155" t="s">
        <v>1240</v>
      </c>
      <c r="BB168" s="155" t="s">
        <v>1240</v>
      </c>
      <c r="BC168" s="155" t="s">
        <v>1240</v>
      </c>
      <c r="BD168" s="155" t="s">
        <v>1240</v>
      </c>
      <c r="BE168" s="155" t="s">
        <v>1240</v>
      </c>
      <c r="BF168" s="155" t="s">
        <v>1240</v>
      </c>
      <c r="BG168" s="155" t="s">
        <v>1240</v>
      </c>
      <c r="BH168" s="155" t="s">
        <v>1240</v>
      </c>
      <c r="BI168" s="155" t="s">
        <v>1240</v>
      </c>
      <c r="BJ168" s="155" t="s">
        <v>1240</v>
      </c>
      <c r="BK168" s="155" t="s">
        <v>1240</v>
      </c>
      <c r="BL168" s="155" t="s">
        <v>1240</v>
      </c>
      <c r="BM168" s="155" t="s">
        <v>1240</v>
      </c>
      <c r="BN168" s="155" t="s">
        <v>1240</v>
      </c>
      <c r="BO168" s="155" t="s">
        <v>1240</v>
      </c>
      <c r="BP168" s="155" t="s">
        <v>1240</v>
      </c>
      <c r="BQ168" s="155" t="s">
        <v>1240</v>
      </c>
      <c r="BR168" s="155" t="s">
        <v>1240</v>
      </c>
      <c r="BS168" s="155" t="s">
        <v>1240</v>
      </c>
      <c r="BT168" s="155" t="s">
        <v>1240</v>
      </c>
      <c r="BU168" s="155" t="s">
        <v>1240</v>
      </c>
      <c r="BV168" s="155" t="s">
        <v>1240</v>
      </c>
      <c r="BW168" s="155" t="s">
        <v>1240</v>
      </c>
      <c r="BX168" s="155" t="s">
        <v>1240</v>
      </c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</row>
    <row r="169" spans="1:86" ht="13.5" customHeight="1">
      <c r="A169" s="154"/>
      <c r="B169" s="155" t="s">
        <v>16</v>
      </c>
      <c r="C169" s="155" t="s">
        <v>16</v>
      </c>
      <c r="D169" s="155" t="s">
        <v>16</v>
      </c>
      <c r="E169" s="155" t="s">
        <v>16</v>
      </c>
      <c r="F169" s="155" t="s">
        <v>16</v>
      </c>
      <c r="G169" s="155" t="s">
        <v>16</v>
      </c>
      <c r="H169" s="155" t="s">
        <v>16</v>
      </c>
      <c r="I169" s="155" t="s">
        <v>16</v>
      </c>
      <c r="J169" s="155" t="s">
        <v>16</v>
      </c>
      <c r="K169" s="155" t="s">
        <v>16</v>
      </c>
      <c r="L169" s="155" t="s">
        <v>16</v>
      </c>
      <c r="M169" s="155" t="s">
        <v>16</v>
      </c>
      <c r="N169" s="155" t="s">
        <v>16</v>
      </c>
      <c r="O169" s="155" t="s">
        <v>16</v>
      </c>
      <c r="P169" s="155" t="s">
        <v>16</v>
      </c>
      <c r="Q169" s="155" t="s">
        <v>16</v>
      </c>
      <c r="R169" s="155" t="s">
        <v>16</v>
      </c>
      <c r="S169" s="155" t="s">
        <v>16</v>
      </c>
      <c r="T169" s="155" t="s">
        <v>16</v>
      </c>
      <c r="U169" s="155" t="s">
        <v>16</v>
      </c>
      <c r="V169" s="155" t="s">
        <v>16</v>
      </c>
      <c r="W169" s="155" t="s">
        <v>16</v>
      </c>
      <c r="X169" s="155" t="s">
        <v>16</v>
      </c>
      <c r="Y169" s="155" t="s">
        <v>16</v>
      </c>
      <c r="Z169" s="155" t="s">
        <v>16</v>
      </c>
      <c r="AA169" s="155" t="s">
        <v>16</v>
      </c>
      <c r="AB169" s="155" t="s">
        <v>16</v>
      </c>
      <c r="AC169" s="155" t="s">
        <v>16</v>
      </c>
      <c r="AD169" s="155" t="s">
        <v>16</v>
      </c>
      <c r="AE169" s="155" t="s">
        <v>16</v>
      </c>
      <c r="AF169" s="155" t="s">
        <v>16</v>
      </c>
      <c r="AG169" s="155" t="s">
        <v>16</v>
      </c>
      <c r="AH169" s="155" t="s">
        <v>16</v>
      </c>
      <c r="AI169" s="155" t="s">
        <v>16</v>
      </c>
      <c r="AJ169" s="155" t="s">
        <v>16</v>
      </c>
      <c r="AK169" s="155" t="s">
        <v>16</v>
      </c>
      <c r="AL169" s="155" t="s">
        <v>16</v>
      </c>
      <c r="AM169" s="155" t="s">
        <v>16</v>
      </c>
      <c r="AN169" s="155" t="s">
        <v>16</v>
      </c>
      <c r="AO169" s="155" t="s">
        <v>16</v>
      </c>
      <c r="AP169" s="155" t="s">
        <v>16</v>
      </c>
      <c r="AQ169" s="155" t="s">
        <v>16</v>
      </c>
      <c r="AR169" s="155" t="s">
        <v>16</v>
      </c>
      <c r="AS169" s="155" t="s">
        <v>16</v>
      </c>
      <c r="AT169" s="155" t="s">
        <v>16</v>
      </c>
      <c r="AU169" s="155" t="s">
        <v>16</v>
      </c>
      <c r="AV169" s="155" t="s">
        <v>16</v>
      </c>
      <c r="AW169" s="155" t="s">
        <v>16</v>
      </c>
      <c r="AX169" s="155" t="s">
        <v>16</v>
      </c>
      <c r="AY169" s="155" t="s">
        <v>16</v>
      </c>
      <c r="AZ169" s="155" t="s">
        <v>16</v>
      </c>
      <c r="BA169" s="155" t="s">
        <v>16</v>
      </c>
      <c r="BB169" s="155" t="s">
        <v>16</v>
      </c>
      <c r="BC169" s="155" t="s">
        <v>16</v>
      </c>
      <c r="BD169" s="155" t="s">
        <v>16</v>
      </c>
      <c r="BE169" s="155" t="s">
        <v>16</v>
      </c>
      <c r="BF169" s="155" t="s">
        <v>16</v>
      </c>
      <c r="BG169" s="155" t="s">
        <v>16</v>
      </c>
      <c r="BH169" s="155" t="s">
        <v>16</v>
      </c>
      <c r="BI169" s="155" t="s">
        <v>16</v>
      </c>
      <c r="BJ169" s="155" t="s">
        <v>16</v>
      </c>
      <c r="BK169" s="155" t="s">
        <v>16</v>
      </c>
      <c r="BL169" s="155" t="s">
        <v>16</v>
      </c>
      <c r="BM169" s="155" t="s">
        <v>16</v>
      </c>
      <c r="BN169" s="155" t="s">
        <v>16</v>
      </c>
      <c r="BO169" s="155" t="s">
        <v>16</v>
      </c>
      <c r="BP169" s="155" t="s">
        <v>16</v>
      </c>
      <c r="BQ169" s="155" t="s">
        <v>16</v>
      </c>
      <c r="BR169" s="155" t="s">
        <v>16</v>
      </c>
      <c r="BS169" s="155" t="s">
        <v>16</v>
      </c>
      <c r="BT169" s="155" t="s">
        <v>16</v>
      </c>
      <c r="BU169" s="155" t="s">
        <v>16</v>
      </c>
      <c r="BV169" s="155" t="s">
        <v>16</v>
      </c>
      <c r="BW169" s="155" t="s">
        <v>16</v>
      </c>
      <c r="BX169" s="155" t="s">
        <v>16</v>
      </c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</row>
    <row r="170" spans="1:86" s="154" customFormat="1" ht="14.25">
      <c r="A170" s="140"/>
      <c r="B170" s="155" t="s">
        <v>17</v>
      </c>
      <c r="C170" s="155" t="s">
        <v>17</v>
      </c>
      <c r="D170" s="155" t="s">
        <v>17</v>
      </c>
      <c r="E170" s="155" t="s">
        <v>17</v>
      </c>
      <c r="F170" s="155" t="s">
        <v>17</v>
      </c>
      <c r="G170" s="155" t="s">
        <v>17</v>
      </c>
      <c r="H170" s="155" t="s">
        <v>17</v>
      </c>
      <c r="I170" s="155" t="s">
        <v>17</v>
      </c>
      <c r="J170" s="155" t="s">
        <v>17</v>
      </c>
      <c r="K170" s="155" t="s">
        <v>17</v>
      </c>
      <c r="L170" s="155" t="s">
        <v>17</v>
      </c>
      <c r="M170" s="155" t="s">
        <v>17</v>
      </c>
      <c r="N170" s="155" t="s">
        <v>17</v>
      </c>
      <c r="O170" s="155" t="s">
        <v>17</v>
      </c>
      <c r="P170" s="155" t="s">
        <v>17</v>
      </c>
      <c r="Q170" s="155" t="s">
        <v>17</v>
      </c>
      <c r="R170" s="155" t="s">
        <v>17</v>
      </c>
      <c r="S170" s="155" t="s">
        <v>17</v>
      </c>
      <c r="T170" s="155" t="s">
        <v>17</v>
      </c>
      <c r="U170" s="155" t="s">
        <v>17</v>
      </c>
      <c r="V170" s="155" t="s">
        <v>17</v>
      </c>
      <c r="W170" s="155" t="s">
        <v>17</v>
      </c>
      <c r="X170" s="155" t="s">
        <v>17</v>
      </c>
      <c r="Y170" s="155" t="s">
        <v>17</v>
      </c>
      <c r="Z170" s="155" t="s">
        <v>17</v>
      </c>
      <c r="AA170" s="155" t="s">
        <v>17</v>
      </c>
      <c r="AB170" s="155" t="s">
        <v>17</v>
      </c>
      <c r="AC170" s="155" t="s">
        <v>17</v>
      </c>
      <c r="AD170" s="155" t="s">
        <v>17</v>
      </c>
      <c r="AE170" s="155" t="s">
        <v>17</v>
      </c>
      <c r="AF170" s="155" t="s">
        <v>17</v>
      </c>
      <c r="AG170" s="155" t="s">
        <v>17</v>
      </c>
      <c r="AH170" s="155" t="s">
        <v>17</v>
      </c>
      <c r="AI170" s="155" t="s">
        <v>17</v>
      </c>
      <c r="AJ170" s="155" t="s">
        <v>17</v>
      </c>
      <c r="AK170" s="155" t="s">
        <v>17</v>
      </c>
      <c r="AL170" s="155" t="s">
        <v>17</v>
      </c>
      <c r="AM170" s="155" t="s">
        <v>17</v>
      </c>
      <c r="AN170" s="155" t="s">
        <v>17</v>
      </c>
      <c r="AO170" s="155" t="s">
        <v>17</v>
      </c>
      <c r="AP170" s="155" t="s">
        <v>17</v>
      </c>
      <c r="AQ170" s="155" t="s">
        <v>17</v>
      </c>
      <c r="AR170" s="155" t="s">
        <v>17</v>
      </c>
      <c r="AS170" s="155" t="s">
        <v>17</v>
      </c>
      <c r="AT170" s="155" t="s">
        <v>17</v>
      </c>
      <c r="AU170" s="155" t="s">
        <v>17</v>
      </c>
      <c r="AV170" s="155" t="s">
        <v>17</v>
      </c>
      <c r="AW170" s="155" t="s">
        <v>17</v>
      </c>
      <c r="AX170" s="155" t="s">
        <v>17</v>
      </c>
      <c r="AY170" s="155" t="s">
        <v>17</v>
      </c>
      <c r="AZ170" s="155" t="s">
        <v>17</v>
      </c>
      <c r="BA170" s="155" t="s">
        <v>17</v>
      </c>
      <c r="BB170" s="155" t="s">
        <v>17</v>
      </c>
      <c r="BC170" s="155" t="s">
        <v>17</v>
      </c>
      <c r="BD170" s="155" t="s">
        <v>17</v>
      </c>
      <c r="BE170" s="155" t="s">
        <v>17</v>
      </c>
      <c r="BF170" s="155" t="s">
        <v>17</v>
      </c>
      <c r="BG170" s="155" t="s">
        <v>17</v>
      </c>
      <c r="BH170" s="155" t="s">
        <v>17</v>
      </c>
      <c r="BI170" s="155" t="s">
        <v>17</v>
      </c>
      <c r="BJ170" s="155" t="s">
        <v>17</v>
      </c>
      <c r="BK170" s="155" t="s">
        <v>17</v>
      </c>
      <c r="BL170" s="155" t="s">
        <v>17</v>
      </c>
      <c r="BM170" s="155" t="s">
        <v>17</v>
      </c>
      <c r="BN170" s="155" t="s">
        <v>17</v>
      </c>
      <c r="BO170" s="155" t="s">
        <v>17</v>
      </c>
      <c r="BP170" s="155" t="s">
        <v>17</v>
      </c>
      <c r="BQ170" s="155" t="s">
        <v>17</v>
      </c>
      <c r="BR170" s="155" t="s">
        <v>17</v>
      </c>
      <c r="BS170" s="155" t="s">
        <v>17</v>
      </c>
      <c r="BT170" s="155" t="s">
        <v>17</v>
      </c>
      <c r="BU170" s="155" t="s">
        <v>17</v>
      </c>
      <c r="BV170" s="155" t="s">
        <v>17</v>
      </c>
      <c r="BW170" s="155" t="s">
        <v>17</v>
      </c>
      <c r="BX170" s="155" t="s">
        <v>17</v>
      </c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</row>
    <row r="171" spans="1:86" ht="13.5" customHeight="1">
      <c r="A171" s="154"/>
      <c r="B171" s="155" t="s">
        <v>1215</v>
      </c>
      <c r="C171" s="155" t="s">
        <v>1215</v>
      </c>
      <c r="D171" s="155" t="s">
        <v>1215</v>
      </c>
      <c r="E171" s="155" t="s">
        <v>1215</v>
      </c>
      <c r="F171" s="155" t="s">
        <v>1215</v>
      </c>
      <c r="G171" s="155" t="s">
        <v>1215</v>
      </c>
      <c r="H171" s="155" t="s">
        <v>1215</v>
      </c>
      <c r="I171" s="155" t="s">
        <v>1215</v>
      </c>
      <c r="J171" s="155" t="s">
        <v>1215</v>
      </c>
      <c r="K171" s="155" t="s">
        <v>1215</v>
      </c>
      <c r="L171" s="155" t="s">
        <v>1215</v>
      </c>
      <c r="M171" s="155" t="s">
        <v>1215</v>
      </c>
      <c r="N171" s="155" t="s">
        <v>1215</v>
      </c>
      <c r="O171" s="155" t="s">
        <v>1215</v>
      </c>
      <c r="P171" s="155" t="s">
        <v>1215</v>
      </c>
      <c r="Q171" s="155" t="s">
        <v>1215</v>
      </c>
      <c r="R171" s="155" t="s">
        <v>1215</v>
      </c>
      <c r="S171" s="155" t="s">
        <v>1215</v>
      </c>
      <c r="T171" s="155" t="s">
        <v>1215</v>
      </c>
      <c r="U171" s="155" t="s">
        <v>1215</v>
      </c>
      <c r="V171" s="155" t="s">
        <v>1215</v>
      </c>
      <c r="W171" s="155" t="s">
        <v>1215</v>
      </c>
      <c r="X171" s="155" t="s">
        <v>1215</v>
      </c>
      <c r="Y171" s="155" t="s">
        <v>1215</v>
      </c>
      <c r="Z171" s="155" t="s">
        <v>1215</v>
      </c>
      <c r="AA171" s="155" t="s">
        <v>1215</v>
      </c>
      <c r="AB171" s="155" t="s">
        <v>1215</v>
      </c>
      <c r="AC171" s="155" t="s">
        <v>1215</v>
      </c>
      <c r="AD171" s="155" t="s">
        <v>1215</v>
      </c>
      <c r="AE171" s="155" t="s">
        <v>1215</v>
      </c>
      <c r="AF171" s="155" t="s">
        <v>1215</v>
      </c>
      <c r="AG171" s="155" t="s">
        <v>36</v>
      </c>
      <c r="AH171" s="155" t="s">
        <v>1215</v>
      </c>
      <c r="AI171" s="155" t="s">
        <v>1215</v>
      </c>
      <c r="AJ171" s="155" t="s">
        <v>1215</v>
      </c>
      <c r="AK171" s="155" t="s">
        <v>1215</v>
      </c>
      <c r="AL171" s="155" t="s">
        <v>1215</v>
      </c>
      <c r="AM171" s="155" t="s">
        <v>1215</v>
      </c>
      <c r="AN171" s="221" t="s">
        <v>17</v>
      </c>
      <c r="AO171" s="221" t="s">
        <v>17</v>
      </c>
      <c r="AP171" s="150" t="s">
        <v>1215</v>
      </c>
      <c r="AQ171" s="217" t="s">
        <v>1215</v>
      </c>
      <c r="AR171" s="217" t="s">
        <v>1215</v>
      </c>
      <c r="AS171" s="227" t="str">
        <f>IF(Configurator!$T$5="5","*","H")</f>
        <v>*</v>
      </c>
      <c r="AT171" s="225" t="str">
        <f>IF(Configurator!$T$5="5","-***","J")</f>
        <v>-***</v>
      </c>
      <c r="AU171" s="225" t="str">
        <f>IF(Configurator!$T$5="5","-***","J")</f>
        <v>-***</v>
      </c>
      <c r="AV171" s="225" t="str">
        <f>IF(Configurator!$T$5="5","-***","*")</f>
        <v>-***</v>
      </c>
      <c r="AW171" s="225" t="str">
        <f>IF(Configurator!$T$5="5","-***","J")</f>
        <v>-***</v>
      </c>
      <c r="AX171" s="225" t="str">
        <f>IF(Configurator!$T$5="5","-***","J")</f>
        <v>-***</v>
      </c>
      <c r="AY171" s="225" t="str">
        <f>IF(Configurator!$T$5="5","-***","J")</f>
        <v>-***</v>
      </c>
      <c r="AZ171" s="225" t="str">
        <f>IF(Configurator!$T$5="5","-***","J")</f>
        <v>-***</v>
      </c>
      <c r="BA171" s="225" t="str">
        <f>IF(Configurator!$T$5="5","-***","J")</f>
        <v>-***</v>
      </c>
      <c r="BB171" s="217" t="s">
        <v>39</v>
      </c>
      <c r="BC171" s="217" t="s">
        <v>39</v>
      </c>
      <c r="BD171" s="217" t="s">
        <v>39</v>
      </c>
      <c r="BE171" s="217" t="s">
        <v>39</v>
      </c>
      <c r="BF171" s="217" t="s">
        <v>39</v>
      </c>
      <c r="BG171" s="217" t="s">
        <v>39</v>
      </c>
      <c r="BH171" s="217" t="s">
        <v>39</v>
      </c>
      <c r="BI171" s="217" t="s">
        <v>39</v>
      </c>
      <c r="BJ171" s="217" t="s">
        <v>39</v>
      </c>
      <c r="BK171" s="217" t="s">
        <v>39</v>
      </c>
      <c r="BL171" s="217" t="s">
        <v>39</v>
      </c>
      <c r="BM171" s="217" t="s">
        <v>39</v>
      </c>
      <c r="BN171" s="217" t="s">
        <v>39</v>
      </c>
      <c r="BO171" s="217" t="s">
        <v>39</v>
      </c>
      <c r="BP171" s="217" t="s">
        <v>39</v>
      </c>
      <c r="BQ171" s="217" t="s">
        <v>39</v>
      </c>
      <c r="BR171" s="217" t="s">
        <v>39</v>
      </c>
      <c r="BS171" s="217" t="s">
        <v>39</v>
      </c>
      <c r="BT171" s="217" t="s">
        <v>39</v>
      </c>
      <c r="BU171" s="217" t="s">
        <v>39</v>
      </c>
      <c r="BV171" s="217" t="s">
        <v>39</v>
      </c>
      <c r="BW171" s="217" t="s">
        <v>39</v>
      </c>
      <c r="BX171" s="217" t="s">
        <v>39</v>
      </c>
      <c r="BY171" s="285"/>
      <c r="BZ171" s="285"/>
      <c r="CA171" s="285"/>
      <c r="CB171" s="285"/>
      <c r="CC171" s="285"/>
      <c r="CD171" s="285"/>
      <c r="CE171" s="285"/>
      <c r="CF171" s="285"/>
      <c r="CG171" s="285"/>
      <c r="CH171" s="285"/>
    </row>
    <row r="172" spans="1:86" ht="14.25">
      <c r="A172" s="151"/>
      <c r="B172" s="156" t="s">
        <v>1215</v>
      </c>
      <c r="C172" s="156" t="s">
        <v>1215</v>
      </c>
      <c r="D172" s="156" t="s">
        <v>1215</v>
      </c>
      <c r="E172" s="156" t="s">
        <v>1215</v>
      </c>
      <c r="F172" s="156" t="s">
        <v>1215</v>
      </c>
      <c r="G172" s="156" t="s">
        <v>1215</v>
      </c>
      <c r="H172" s="156" t="s">
        <v>1215</v>
      </c>
      <c r="I172" s="156" t="s">
        <v>1215</v>
      </c>
      <c r="J172" s="156" t="s">
        <v>1215</v>
      </c>
      <c r="K172" s="156" t="s">
        <v>1215</v>
      </c>
      <c r="L172" s="156" t="s">
        <v>1215</v>
      </c>
      <c r="M172" s="156" t="s">
        <v>1215</v>
      </c>
      <c r="N172" s="156" t="s">
        <v>1215</v>
      </c>
      <c r="O172" s="156" t="s">
        <v>1215</v>
      </c>
      <c r="P172" s="156" t="s">
        <v>1215</v>
      </c>
      <c r="Q172" s="156" t="s">
        <v>1215</v>
      </c>
      <c r="R172" s="156" t="s">
        <v>1215</v>
      </c>
      <c r="S172" s="156" t="s">
        <v>1215</v>
      </c>
      <c r="T172" s="156" t="s">
        <v>1215</v>
      </c>
      <c r="U172" s="156" t="s">
        <v>1215</v>
      </c>
      <c r="V172" s="156" t="s">
        <v>1215</v>
      </c>
      <c r="W172" s="156" t="s">
        <v>1215</v>
      </c>
      <c r="X172" s="156" t="s">
        <v>1215</v>
      </c>
      <c r="Y172" s="156" t="s">
        <v>1215</v>
      </c>
      <c r="Z172" s="156" t="s">
        <v>1215</v>
      </c>
      <c r="AA172" s="156" t="s">
        <v>1215</v>
      </c>
      <c r="AB172" s="156" t="s">
        <v>1215</v>
      </c>
      <c r="AC172" s="156" t="s">
        <v>1215</v>
      </c>
      <c r="AD172" s="156" t="s">
        <v>1215</v>
      </c>
      <c r="AE172" s="156" t="s">
        <v>1215</v>
      </c>
      <c r="AF172" s="156" t="s">
        <v>1215</v>
      </c>
      <c r="AG172" s="156" t="s">
        <v>39</v>
      </c>
      <c r="AH172" s="156" t="s">
        <v>1215</v>
      </c>
      <c r="AI172" s="156" t="s">
        <v>1215</v>
      </c>
      <c r="AJ172" s="156" t="s">
        <v>1215</v>
      </c>
      <c r="AK172" s="156" t="s">
        <v>1215</v>
      </c>
      <c r="AL172" s="156" t="s">
        <v>1215</v>
      </c>
      <c r="AM172" s="156" t="s">
        <v>1215</v>
      </c>
      <c r="AN172" s="222" t="s">
        <v>17</v>
      </c>
      <c r="AO172" s="222" t="s">
        <v>17</v>
      </c>
      <c r="AP172" s="152" t="s">
        <v>1215</v>
      </c>
      <c r="AQ172" s="217" t="s">
        <v>1215</v>
      </c>
      <c r="AR172" s="217" t="s">
        <v>1215</v>
      </c>
      <c r="AS172" s="228" t="str">
        <f>IF(Configurator!$T$5="5","*","J")</f>
        <v>*</v>
      </c>
      <c r="AT172" s="225" t="str">
        <f>IF(Configurator!$T$5="5","-***","K")</f>
        <v>-***</v>
      </c>
      <c r="AU172" s="225" t="str">
        <f>IF(Configurator!$T$5="5","-***","K")</f>
        <v>-***</v>
      </c>
      <c r="AV172" s="225" t="str">
        <f>IF(Configurator!$T$5="5","-***","*")</f>
        <v>-***</v>
      </c>
      <c r="AW172" s="225" t="str">
        <f>IF(Configurator!$T$5="5","-***","K")</f>
        <v>-***</v>
      </c>
      <c r="AX172" s="225" t="str">
        <f>IF(Configurator!$T$5="5","-***","K")</f>
        <v>-***</v>
      </c>
      <c r="AY172" s="225" t="str">
        <f>IF(Configurator!$T$5="5","-***","K")</f>
        <v>-***</v>
      </c>
      <c r="AZ172" s="225" t="str">
        <f>IF(Configurator!$T$5="5","-***","K")</f>
        <v>-***</v>
      </c>
      <c r="BA172" s="225" t="str">
        <f>IF(Configurator!$T$5="5","-***","K")</f>
        <v>-***</v>
      </c>
      <c r="BB172" s="217" t="s">
        <v>45</v>
      </c>
      <c r="BC172" s="217" t="s">
        <v>45</v>
      </c>
      <c r="BD172" s="217" t="s">
        <v>45</v>
      </c>
      <c r="BE172" s="217" t="s">
        <v>45</v>
      </c>
      <c r="BF172" s="217" t="s">
        <v>45</v>
      </c>
      <c r="BG172" s="217" t="s">
        <v>45</v>
      </c>
      <c r="BH172" s="217" t="s">
        <v>45</v>
      </c>
      <c r="BI172" s="217" t="s">
        <v>45</v>
      </c>
      <c r="BJ172" s="217" t="s">
        <v>45</v>
      </c>
      <c r="BK172" s="217" t="s">
        <v>45</v>
      </c>
      <c r="BL172" s="217" t="s">
        <v>45</v>
      </c>
      <c r="BM172" s="217" t="s">
        <v>45</v>
      </c>
      <c r="BN172" s="217" t="s">
        <v>45</v>
      </c>
      <c r="BO172" s="217" t="s">
        <v>45</v>
      </c>
      <c r="BP172" s="217" t="s">
        <v>45</v>
      </c>
      <c r="BQ172" s="217" t="s">
        <v>45</v>
      </c>
      <c r="BR172" s="217" t="s">
        <v>45</v>
      </c>
      <c r="BS172" s="217" t="s">
        <v>45</v>
      </c>
      <c r="BT172" s="217" t="s">
        <v>45</v>
      </c>
      <c r="BU172" s="217" t="s">
        <v>45</v>
      </c>
      <c r="BV172" s="217" t="s">
        <v>45</v>
      </c>
      <c r="BW172" s="217" t="s">
        <v>45</v>
      </c>
      <c r="BX172" s="217" t="s">
        <v>45</v>
      </c>
      <c r="BY172" s="285"/>
      <c r="BZ172" s="285"/>
      <c r="CA172" s="285"/>
      <c r="CB172" s="285"/>
      <c r="CC172" s="285"/>
      <c r="CD172" s="285"/>
      <c r="CE172" s="285"/>
      <c r="CF172" s="285"/>
      <c r="CG172" s="285"/>
      <c r="CH172" s="285"/>
    </row>
    <row r="173" spans="1:86" ht="15">
      <c r="A173" s="130" t="s">
        <v>169</v>
      </c>
      <c r="B173" s="157" t="s">
        <v>15</v>
      </c>
      <c r="C173" s="157" t="s">
        <v>15</v>
      </c>
      <c r="D173" s="157" t="s">
        <v>15</v>
      </c>
      <c r="E173" s="157" t="s">
        <v>15</v>
      </c>
      <c r="F173" s="157" t="s">
        <v>15</v>
      </c>
      <c r="G173" s="157" t="s">
        <v>15</v>
      </c>
      <c r="H173" s="157" t="s">
        <v>15</v>
      </c>
      <c r="I173" s="157" t="s">
        <v>15</v>
      </c>
      <c r="J173" s="157" t="s">
        <v>15</v>
      </c>
      <c r="K173" s="157" t="s">
        <v>15</v>
      </c>
      <c r="L173" s="157" t="s">
        <v>15</v>
      </c>
      <c r="M173" s="157" t="s">
        <v>15</v>
      </c>
      <c r="N173" s="157" t="s">
        <v>15</v>
      </c>
      <c r="O173" s="157" t="s">
        <v>15</v>
      </c>
      <c r="P173" s="157" t="s">
        <v>15</v>
      </c>
      <c r="Q173" s="157" t="s">
        <v>15</v>
      </c>
      <c r="R173" s="157" t="s">
        <v>15</v>
      </c>
      <c r="S173" s="157" t="s">
        <v>15</v>
      </c>
      <c r="T173" s="157" t="s">
        <v>15</v>
      </c>
      <c r="U173" s="157" t="s">
        <v>15</v>
      </c>
      <c r="V173" s="157" t="s">
        <v>15</v>
      </c>
      <c r="W173" s="157" t="s">
        <v>15</v>
      </c>
      <c r="X173" s="157" t="s">
        <v>15</v>
      </c>
      <c r="Y173" s="157" t="s">
        <v>15</v>
      </c>
      <c r="Z173" s="157" t="s">
        <v>15</v>
      </c>
      <c r="AA173" s="157" t="s">
        <v>15</v>
      </c>
      <c r="AB173" s="157" t="s">
        <v>15</v>
      </c>
      <c r="AC173" s="157" t="s">
        <v>15</v>
      </c>
      <c r="AD173" s="157" t="s">
        <v>15</v>
      </c>
      <c r="AE173" s="157" t="s">
        <v>15</v>
      </c>
      <c r="AF173" s="157" t="s">
        <v>15</v>
      </c>
      <c r="AG173" s="157" t="s">
        <v>15</v>
      </c>
      <c r="AH173" s="157" t="s">
        <v>15</v>
      </c>
      <c r="AI173" s="157" t="s">
        <v>15</v>
      </c>
      <c r="AJ173" s="157" t="s">
        <v>15</v>
      </c>
      <c r="AK173" s="157" t="s">
        <v>15</v>
      </c>
      <c r="AL173" s="157" t="s">
        <v>15</v>
      </c>
      <c r="AM173" s="157" t="s">
        <v>15</v>
      </c>
      <c r="AN173" s="157" t="s">
        <v>15</v>
      </c>
      <c r="AO173" s="157" t="s">
        <v>15</v>
      </c>
      <c r="AP173" s="157" t="s">
        <v>15</v>
      </c>
      <c r="AQ173" s="157" t="s">
        <v>15</v>
      </c>
      <c r="AR173" s="157" t="s">
        <v>15</v>
      </c>
      <c r="AS173" s="157" t="s">
        <v>15</v>
      </c>
      <c r="AT173" s="157" t="s">
        <v>15</v>
      </c>
      <c r="AU173" s="157" t="s">
        <v>15</v>
      </c>
      <c r="AV173" s="157" t="s">
        <v>15</v>
      </c>
      <c r="AW173" s="157" t="s">
        <v>15</v>
      </c>
      <c r="AX173" s="157" t="s">
        <v>15</v>
      </c>
      <c r="AY173" s="157" t="s">
        <v>15</v>
      </c>
      <c r="AZ173" s="157" t="s">
        <v>15</v>
      </c>
      <c r="BA173" s="157" t="s">
        <v>15</v>
      </c>
      <c r="BB173" s="157" t="s">
        <v>15</v>
      </c>
      <c r="BC173" s="157" t="s">
        <v>15</v>
      </c>
      <c r="BD173" s="157" t="s">
        <v>15</v>
      </c>
      <c r="BE173" s="157" t="s">
        <v>15</v>
      </c>
      <c r="BF173" s="157" t="s">
        <v>15</v>
      </c>
      <c r="BG173" s="157" t="s">
        <v>15</v>
      </c>
      <c r="BH173" s="157" t="s">
        <v>15</v>
      </c>
      <c r="BI173" s="157" t="s">
        <v>15</v>
      </c>
      <c r="BJ173" s="157" t="s">
        <v>15</v>
      </c>
      <c r="BK173" s="157" t="s">
        <v>15</v>
      </c>
      <c r="BL173" s="157" t="s">
        <v>15</v>
      </c>
      <c r="BM173" s="157" t="s">
        <v>15</v>
      </c>
      <c r="BN173" s="157" t="s">
        <v>15</v>
      </c>
      <c r="BO173" s="157" t="s">
        <v>15</v>
      </c>
      <c r="BP173" s="157" t="s">
        <v>15</v>
      </c>
      <c r="BQ173" s="157" t="s">
        <v>15</v>
      </c>
      <c r="BR173" s="157" t="s">
        <v>15</v>
      </c>
      <c r="BS173" s="157" t="s">
        <v>15</v>
      </c>
      <c r="BT173" s="157" t="s">
        <v>15</v>
      </c>
      <c r="BU173" s="157" t="s">
        <v>15</v>
      </c>
      <c r="BV173" s="157" t="s">
        <v>15</v>
      </c>
      <c r="BW173" s="157" t="s">
        <v>15</v>
      </c>
      <c r="BX173" s="157" t="s">
        <v>15</v>
      </c>
      <c r="BY173" s="277"/>
      <c r="BZ173" s="277"/>
      <c r="CA173" s="277"/>
      <c r="CB173" s="277"/>
      <c r="CC173" s="277"/>
      <c r="CD173" s="277"/>
      <c r="CE173" s="277"/>
      <c r="CF173" s="277"/>
      <c r="CG173" s="277"/>
      <c r="CH173" s="277"/>
    </row>
    <row r="174" spans="1:86" ht="15">
      <c r="A174" s="158" t="s">
        <v>171</v>
      </c>
      <c r="B174" s="159" t="s">
        <v>170</v>
      </c>
      <c r="C174" s="159" t="s">
        <v>170</v>
      </c>
      <c r="D174" s="159" t="s">
        <v>170</v>
      </c>
      <c r="E174" s="159" t="s">
        <v>170</v>
      </c>
      <c r="F174" s="159" t="s">
        <v>170</v>
      </c>
      <c r="G174" s="159" t="s">
        <v>170</v>
      </c>
      <c r="H174" s="159" t="s">
        <v>170</v>
      </c>
      <c r="I174" s="159" t="s">
        <v>170</v>
      </c>
      <c r="J174" s="159" t="s">
        <v>170</v>
      </c>
      <c r="K174" s="159" t="s">
        <v>170</v>
      </c>
      <c r="L174" s="159" t="s">
        <v>170</v>
      </c>
      <c r="M174" s="159" t="s">
        <v>170</v>
      </c>
      <c r="N174" s="159" t="s">
        <v>170</v>
      </c>
      <c r="O174" s="159" t="s">
        <v>170</v>
      </c>
      <c r="P174" s="159" t="s">
        <v>170</v>
      </c>
      <c r="Q174" s="159" t="s">
        <v>170</v>
      </c>
      <c r="R174" s="159" t="s">
        <v>170</v>
      </c>
      <c r="S174" s="159" t="s">
        <v>170</v>
      </c>
      <c r="T174" s="159" t="s">
        <v>170</v>
      </c>
      <c r="U174" s="159" t="s">
        <v>170</v>
      </c>
      <c r="V174" s="159" t="s">
        <v>170</v>
      </c>
      <c r="W174" s="159" t="s">
        <v>170</v>
      </c>
      <c r="X174" s="159" t="s">
        <v>199</v>
      </c>
      <c r="Y174" s="159" t="s">
        <v>199</v>
      </c>
      <c r="Z174" s="159" t="s">
        <v>199</v>
      </c>
      <c r="AA174" s="159" t="s">
        <v>199</v>
      </c>
      <c r="AB174" s="159" t="s">
        <v>199</v>
      </c>
      <c r="AC174" s="159" t="s">
        <v>199</v>
      </c>
      <c r="AD174" s="159" t="s">
        <v>199</v>
      </c>
      <c r="AE174" s="159" t="s">
        <v>199</v>
      </c>
      <c r="AF174" s="159" t="s">
        <v>199</v>
      </c>
      <c r="AG174" s="159" t="s">
        <v>199</v>
      </c>
      <c r="AH174" s="159" t="s">
        <v>199</v>
      </c>
      <c r="AI174" s="159" t="s">
        <v>199</v>
      </c>
      <c r="AJ174" s="159" t="s">
        <v>199</v>
      </c>
      <c r="AK174" s="159" t="s">
        <v>199</v>
      </c>
      <c r="AL174" s="159" t="s">
        <v>199</v>
      </c>
      <c r="AM174" s="159" t="s">
        <v>199</v>
      </c>
      <c r="AN174" s="159" t="s">
        <v>199</v>
      </c>
      <c r="AO174" s="159" t="s">
        <v>199</v>
      </c>
      <c r="AP174" s="159" t="s">
        <v>199</v>
      </c>
      <c r="AQ174" s="159" t="s">
        <v>199</v>
      </c>
      <c r="AR174" s="159" t="s">
        <v>199</v>
      </c>
      <c r="AS174" s="159" t="s">
        <v>199</v>
      </c>
      <c r="AT174" s="159" t="s">
        <v>199</v>
      </c>
      <c r="AU174" s="159" t="s">
        <v>199</v>
      </c>
      <c r="AV174" s="159" t="s">
        <v>199</v>
      </c>
      <c r="AW174" s="159" t="s">
        <v>199</v>
      </c>
      <c r="AX174" s="159" t="s">
        <v>199</v>
      </c>
      <c r="AY174" s="159" t="s">
        <v>199</v>
      </c>
      <c r="AZ174" s="159" t="s">
        <v>199</v>
      </c>
      <c r="BA174" s="159" t="s">
        <v>199</v>
      </c>
      <c r="BB174" s="159" t="s">
        <v>199</v>
      </c>
      <c r="BC174" s="159" t="s">
        <v>199</v>
      </c>
      <c r="BD174" s="159" t="s">
        <v>199</v>
      </c>
      <c r="BE174" s="159" t="s">
        <v>199</v>
      </c>
      <c r="BF174" s="159" t="s">
        <v>199</v>
      </c>
      <c r="BG174" s="159" t="s">
        <v>199</v>
      </c>
      <c r="BH174" s="159" t="s">
        <v>199</v>
      </c>
      <c r="BI174" s="159" t="s">
        <v>199</v>
      </c>
      <c r="BJ174" s="159" t="s">
        <v>199</v>
      </c>
      <c r="BK174" s="159" t="s">
        <v>199</v>
      </c>
      <c r="BL174" s="159" t="s">
        <v>199</v>
      </c>
      <c r="BM174" s="159" t="s">
        <v>199</v>
      </c>
      <c r="BN174" s="159" t="s">
        <v>199</v>
      </c>
      <c r="BO174" s="159" t="s">
        <v>199</v>
      </c>
      <c r="BP174" s="159" t="s">
        <v>199</v>
      </c>
      <c r="BQ174" s="159" t="s">
        <v>199</v>
      </c>
      <c r="BR174" s="159" t="s">
        <v>199</v>
      </c>
      <c r="BS174" s="159" t="s">
        <v>199</v>
      </c>
      <c r="BT174" s="159" t="s">
        <v>199</v>
      </c>
      <c r="BU174" s="159" t="s">
        <v>199</v>
      </c>
      <c r="BV174" s="159" t="s">
        <v>199</v>
      </c>
      <c r="BW174" s="159" t="s">
        <v>199</v>
      </c>
      <c r="BX174" s="159" t="s">
        <v>199</v>
      </c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</row>
    <row r="175" spans="1:86" ht="15">
      <c r="A175" s="148" t="s">
        <v>172</v>
      </c>
      <c r="B175" s="144" t="s">
        <v>15</v>
      </c>
      <c r="C175" s="144" t="s">
        <v>15</v>
      </c>
      <c r="D175" s="144" t="s">
        <v>15</v>
      </c>
      <c r="E175" s="144" t="s">
        <v>15</v>
      </c>
      <c r="F175" s="144" t="s">
        <v>15</v>
      </c>
      <c r="G175" s="144" t="s">
        <v>15</v>
      </c>
      <c r="H175" s="144" t="s">
        <v>15</v>
      </c>
      <c r="I175" s="144" t="s">
        <v>15</v>
      </c>
      <c r="J175" s="144" t="s">
        <v>15</v>
      </c>
      <c r="K175" s="144" t="s">
        <v>15</v>
      </c>
      <c r="L175" s="144" t="s">
        <v>15</v>
      </c>
      <c r="M175" s="144" t="s">
        <v>15</v>
      </c>
      <c r="N175" s="144" t="s">
        <v>15</v>
      </c>
      <c r="O175" s="144" t="s">
        <v>15</v>
      </c>
      <c r="P175" s="144" t="s">
        <v>15</v>
      </c>
      <c r="Q175" s="144" t="s">
        <v>15</v>
      </c>
      <c r="R175" s="144" t="s">
        <v>15</v>
      </c>
      <c r="S175" s="144" t="s">
        <v>15</v>
      </c>
      <c r="T175" s="144" t="s">
        <v>15</v>
      </c>
      <c r="U175" s="144" t="s">
        <v>15</v>
      </c>
      <c r="V175" s="144" t="s">
        <v>15</v>
      </c>
      <c r="W175" s="144" t="s">
        <v>15</v>
      </c>
      <c r="X175" s="144" t="s">
        <v>15</v>
      </c>
      <c r="Y175" s="144" t="s">
        <v>15</v>
      </c>
      <c r="Z175" s="144" t="s">
        <v>15</v>
      </c>
      <c r="AA175" s="144" t="s">
        <v>15</v>
      </c>
      <c r="AB175" s="144" t="s">
        <v>15</v>
      </c>
      <c r="AC175" s="144" t="s">
        <v>15</v>
      </c>
      <c r="AD175" s="144" t="s">
        <v>15</v>
      </c>
      <c r="AE175" s="144" t="s">
        <v>15</v>
      </c>
      <c r="AF175" s="144" t="s">
        <v>15</v>
      </c>
      <c r="AG175" s="144" t="s">
        <v>15</v>
      </c>
      <c r="AH175" s="144" t="s">
        <v>15</v>
      </c>
      <c r="AI175" s="144" t="s">
        <v>15</v>
      </c>
      <c r="AJ175" s="144" t="s">
        <v>15</v>
      </c>
      <c r="AK175" s="144" t="s">
        <v>15</v>
      </c>
      <c r="AL175" s="144" t="s">
        <v>15</v>
      </c>
      <c r="AM175" s="144" t="s">
        <v>15</v>
      </c>
      <c r="AN175" s="144" t="s">
        <v>15</v>
      </c>
      <c r="AO175" s="144" t="s">
        <v>15</v>
      </c>
      <c r="AP175" s="144" t="s">
        <v>15</v>
      </c>
      <c r="AQ175" s="144" t="s">
        <v>15</v>
      </c>
      <c r="AR175" s="144" t="s">
        <v>15</v>
      </c>
      <c r="AS175" s="144" t="s">
        <v>15</v>
      </c>
      <c r="AT175" s="144" t="s">
        <v>15</v>
      </c>
      <c r="AU175" s="144" t="s">
        <v>15</v>
      </c>
      <c r="AV175" s="144" t="s">
        <v>15</v>
      </c>
      <c r="AW175" s="144" t="s">
        <v>15</v>
      </c>
      <c r="AX175" s="144" t="s">
        <v>15</v>
      </c>
      <c r="AY175" s="144" t="s">
        <v>15</v>
      </c>
      <c r="AZ175" s="144" t="s">
        <v>15</v>
      </c>
      <c r="BA175" s="144" t="s">
        <v>15</v>
      </c>
      <c r="BB175" s="144" t="s">
        <v>15</v>
      </c>
      <c r="BC175" s="144" t="s">
        <v>15</v>
      </c>
      <c r="BD175" s="144" t="s">
        <v>15</v>
      </c>
      <c r="BE175" s="144" t="s">
        <v>15</v>
      </c>
      <c r="BF175" s="144" t="s">
        <v>15</v>
      </c>
      <c r="BG175" s="144" t="s">
        <v>15</v>
      </c>
      <c r="BH175" s="144" t="s">
        <v>15</v>
      </c>
      <c r="BI175" s="144" t="s">
        <v>15</v>
      </c>
      <c r="BJ175" s="144" t="s">
        <v>15</v>
      </c>
      <c r="BK175" s="144" t="s">
        <v>15</v>
      </c>
      <c r="BL175" s="144" t="s">
        <v>15</v>
      </c>
      <c r="BM175" s="144" t="s">
        <v>15</v>
      </c>
      <c r="BN175" s="144" t="s">
        <v>15</v>
      </c>
      <c r="BO175" s="144" t="s">
        <v>15</v>
      </c>
      <c r="BP175" s="144" t="s">
        <v>15</v>
      </c>
      <c r="BQ175" s="144" t="s">
        <v>15</v>
      </c>
      <c r="BR175" s="144" t="s">
        <v>15</v>
      </c>
      <c r="BS175" s="144" t="s">
        <v>15</v>
      </c>
      <c r="BT175" s="144" t="s">
        <v>15</v>
      </c>
      <c r="BU175" s="144" t="s">
        <v>15</v>
      </c>
      <c r="BV175" s="144" t="s">
        <v>15</v>
      </c>
      <c r="BW175" s="144" t="s">
        <v>15</v>
      </c>
      <c r="BX175" s="144" t="s">
        <v>15</v>
      </c>
      <c r="BY175" s="277"/>
      <c r="BZ175" s="277"/>
      <c r="CA175" s="277"/>
      <c r="CB175" s="277"/>
      <c r="CC175" s="277"/>
      <c r="CD175" s="277"/>
      <c r="CE175" s="277"/>
      <c r="CF175" s="277"/>
      <c r="CG175" s="277"/>
      <c r="CH175" s="277"/>
    </row>
    <row r="176" spans="2:86" ht="14.25">
      <c r="B176" s="136" t="s">
        <v>15</v>
      </c>
      <c r="C176" s="136" t="s">
        <v>15</v>
      </c>
      <c r="D176" s="136" t="s">
        <v>15</v>
      </c>
      <c r="E176" s="136" t="s">
        <v>15</v>
      </c>
      <c r="F176" s="136" t="s">
        <v>15</v>
      </c>
      <c r="G176" s="136" t="s">
        <v>15</v>
      </c>
      <c r="H176" s="136" t="s">
        <v>15</v>
      </c>
      <c r="I176" s="136" t="s">
        <v>15</v>
      </c>
      <c r="J176" s="136" t="s">
        <v>15</v>
      </c>
      <c r="K176" s="136" t="s">
        <v>15</v>
      </c>
      <c r="L176" s="136" t="s">
        <v>15</v>
      </c>
      <c r="M176" s="136" t="s">
        <v>15</v>
      </c>
      <c r="N176" s="136" t="s">
        <v>15</v>
      </c>
      <c r="O176" s="136" t="s">
        <v>15</v>
      </c>
      <c r="P176" s="136" t="s">
        <v>15</v>
      </c>
      <c r="Q176" s="136" t="s">
        <v>15</v>
      </c>
      <c r="R176" s="136" t="s">
        <v>15</v>
      </c>
      <c r="S176" s="136" t="s">
        <v>15</v>
      </c>
      <c r="T176" s="136" t="s">
        <v>15</v>
      </c>
      <c r="U176" s="136" t="s">
        <v>15</v>
      </c>
      <c r="V176" s="136" t="s">
        <v>15</v>
      </c>
      <c r="W176" s="136" t="s">
        <v>15</v>
      </c>
      <c r="X176" s="138" t="str">
        <f>IF(OR(Configurator!$D$26&lt;"E",Configurator!$D$23&gt;7,Configurator!$D$23=1,Configurator!$D$23=3),"0","A")</f>
        <v>A</v>
      </c>
      <c r="Y176" s="138" t="str">
        <f>IF(OR(Configurator!$D$26&lt;"E",Configurator!$D$23&gt;7,Configurator!$D$23=1,Configurator!$D$23=3),"0","A")</f>
        <v>A</v>
      </c>
      <c r="Z176" s="138" t="str">
        <f>IF(OR(Configurator!$D$26&lt;"E",Configurator!$D$23&gt;7,Configurator!$D$23=1,Configurator!$D$23=3),"0","A")</f>
        <v>A</v>
      </c>
      <c r="AA176" s="138" t="str">
        <f>IF(OR(Configurator!$D$26&lt;"E",Configurator!$D$23&gt;7,Configurator!$D$23=1,Configurator!$D$23=3),"0","A")</f>
        <v>A</v>
      </c>
      <c r="AB176" s="138" t="str">
        <f>IF(OR(Configurator!$D$26&lt;"E",Configurator!$D$23&gt;7,Configurator!$D$23=1,Configurator!$D$23=3),"0","A")</f>
        <v>A</v>
      </c>
      <c r="AC176" s="138" t="str">
        <f>IF(OR(Configurator!$D$26&lt;"E",Configurator!$D$23&gt;7,Configurator!$D$23=1,Configurator!$D$23=3),"0","A")</f>
        <v>A</v>
      </c>
      <c r="AD176" s="138" t="str">
        <f>IF(OR(Configurator!$D$26&lt;"E",Configurator!$D$23&gt;7,Configurator!$D$23=1,Configurator!$D$23=3),"0","A")</f>
        <v>A</v>
      </c>
      <c r="AE176" s="138" t="str">
        <f>IF(OR(Configurator!$D$26&lt;"E",Configurator!$D$23&gt;7,Configurator!$D$23=1,Configurator!$D$23=3),"0","A")</f>
        <v>A</v>
      </c>
      <c r="AF176" s="138" t="str">
        <f>IF(OR(Configurator!$D$26&lt;"E",Configurator!$D$23&gt;7,Configurator!$D$23=1,Configurator!$D$23=3),"0","A")</f>
        <v>A</v>
      </c>
      <c r="AG176" s="138" t="str">
        <f>IF(OR(Configurator!$D$26&lt;"E",Configurator!$D$23&gt;7,Configurator!$D$23=1,Configurator!$D$23=3),"0","A")</f>
        <v>A</v>
      </c>
      <c r="AH176" s="138" t="str">
        <f>IF(OR(Configurator!$D$26&lt;"E",Configurator!$D$23&gt;7,Configurator!$D$23=1,Configurator!$D$23=3),"0","A")</f>
        <v>A</v>
      </c>
      <c r="AI176" s="138" t="str">
        <f>IF(OR(Configurator!$D$26&lt;"E",Configurator!$D$23&gt;7,Configurator!$D$23=1,Configurator!$D$23=3),"0","A")</f>
        <v>A</v>
      </c>
      <c r="AJ176" s="138" t="str">
        <f>IF(OR(Configurator!$D$26&lt;"E",Configurator!$D$23&gt;7,Configurator!$D$23=1,Configurator!$D$23=3),"0","A")</f>
        <v>A</v>
      </c>
      <c r="AK176" s="138" t="str">
        <f>IF(OR(Configurator!$D$26&lt;"E",Configurator!$D$23&gt;7,Configurator!$D$23=1,Configurator!$D$23=3),"0","A")</f>
        <v>A</v>
      </c>
      <c r="AL176" s="138" t="str">
        <f>IF(OR(Configurator!$D$26&lt;"E",Configurator!$D$23&gt;7,Configurator!$D$23=1,Configurator!$D$23=3),"0","A")</f>
        <v>A</v>
      </c>
      <c r="AM176" s="138" t="str">
        <f>IF(OR(Configurator!$D$26&lt;"E",Configurator!$D$23&gt;7,Configurator!$D$23=1,Configurator!$D$23=3),"0","A")</f>
        <v>A</v>
      </c>
      <c r="AN176" s="138" t="str">
        <f>IF(OR(Configurator!$D$26&lt;"E",Configurator!$D$23&gt;7,Configurator!$D$23=1,Configurator!$D$23=3),"0","A")</f>
        <v>A</v>
      </c>
      <c r="AO176" s="138" t="str">
        <f>IF(OR(Configurator!$D$26&lt;"E",Configurator!$D$23&gt;7,Configurator!$D$23=1,Configurator!$D$23=3),"0","A")</f>
        <v>A</v>
      </c>
      <c r="AP176" s="138" t="str">
        <f>IF(OR(Configurator!$D$26&lt;"E",Configurator!$D$23&gt;7,Configurator!$D$23=1,Configurator!$D$23=3),"0","A")</f>
        <v>A</v>
      </c>
      <c r="AQ176" s="138" t="str">
        <f>IF(OR(Configurator!$D$26&lt;"E",Configurator!$D$23&gt;7,Configurator!$D$23=1,Configurator!$D$23=3),"0","A")</f>
        <v>A</v>
      </c>
      <c r="AR176" s="138" t="str">
        <f>IF(OR(Configurator!$D$26&lt;"E",Configurator!$D$23&gt;7,Configurator!$D$23=1,Configurator!$D$23=3),"0","A")</f>
        <v>A</v>
      </c>
      <c r="AS176" s="138" t="str">
        <f>IF(OR(Configurator!$D$26&lt;"E",Configurator!$D$23&gt;7,Configurator!$D$23=1,Configurator!$D$23=3),"0","A")</f>
        <v>A</v>
      </c>
      <c r="AT176" s="138" t="str">
        <f>IF(OR(Configurator!$D$26&lt;"E",Configurator!$D$23&gt;7,Configurator!$D$23=1,Configurator!$D$23=3),"0","A")</f>
        <v>A</v>
      </c>
      <c r="AU176" s="138" t="str">
        <f>IF(OR(Configurator!$D$26&lt;"E",Configurator!$D$23&gt;7,Configurator!$D$23=1,Configurator!$D$23=3),"0","A")</f>
        <v>A</v>
      </c>
      <c r="AV176" s="138" t="str">
        <f>IF(OR(Configurator!$D$26&lt;"E",Configurator!$D$23&gt;7,Configurator!$D$23=1,Configurator!$D$23=3),"0","A")</f>
        <v>A</v>
      </c>
      <c r="AW176" s="138" t="str">
        <f>IF(OR(Configurator!$D$26&lt;"E",Configurator!$D$23&gt;7,Configurator!$D$23=1,Configurator!$D$23=3),"0","A")</f>
        <v>A</v>
      </c>
      <c r="AX176" s="138" t="str">
        <f>IF(OR(Configurator!$D$26&lt;"E",Configurator!$D$23&gt;7,Configurator!$D$23=1,Configurator!$D$23=3),"0","A")</f>
        <v>A</v>
      </c>
      <c r="AY176" s="138" t="str">
        <f>IF(OR(Configurator!$D$26&lt;"E",Configurator!$D$23&gt;7,Configurator!$D$23=1,Configurator!$D$23=3),"0","A")</f>
        <v>A</v>
      </c>
      <c r="AZ176" s="138" t="str">
        <f>IF(OR(Configurator!$D$26&lt;"E",Configurator!$D$23&gt;7,Configurator!$D$23=1,Configurator!$D$23=3),"0","A")</f>
        <v>A</v>
      </c>
      <c r="BA176" s="138" t="str">
        <f>IF(OR(Configurator!$D$26&lt;"E",Configurator!$D$23&gt;7,Configurator!$D$23=1,Configurator!$D$23=3),"0","A")</f>
        <v>A</v>
      </c>
      <c r="BB176" s="138" t="str">
        <f>IF(OR(Configurator!$D$26&lt;"E",Configurator!$D$23&gt;7,Configurator!$D$23=1,Configurator!$D$23=3),"0","A")</f>
        <v>A</v>
      </c>
      <c r="BC176" s="138" t="str">
        <f>IF(OR(Configurator!$D$26&lt;"E",Configurator!$D$23&gt;7,Configurator!$D$23=1,Configurator!$D$23=3),"0","A")</f>
        <v>A</v>
      </c>
      <c r="BD176" s="138" t="str">
        <f>IF(OR(Configurator!$D$26&lt;"E",Configurator!$D$23&gt;7,Configurator!$D$23=1,Configurator!$D$23=3),"0","A")</f>
        <v>A</v>
      </c>
      <c r="BE176" s="138" t="str">
        <f>IF(OR(Configurator!$D$26&lt;"E",Configurator!$D$23&gt;7,Configurator!$D$23=1,Configurator!$D$23=3),"0","A")</f>
        <v>A</v>
      </c>
      <c r="BF176" s="138" t="str">
        <f>IF(OR(Configurator!$D$26&lt;"E",Configurator!$D$23&gt;7,Configurator!$D$23=1,Configurator!$D$23=3),"0","A")</f>
        <v>A</v>
      </c>
      <c r="BG176" s="138" t="str">
        <f>IF(OR(Configurator!$D$26&lt;"E",Configurator!$D$23&gt;7,Configurator!$D$23=1,Configurator!$D$23=3),"0","A")</f>
        <v>A</v>
      </c>
      <c r="BH176" s="138" t="str">
        <f>IF(OR(Configurator!$D$26&lt;"E",Configurator!$D$23&gt;7,Configurator!$D$23=1,Configurator!$D$23=3),"0","A")</f>
        <v>A</v>
      </c>
      <c r="BI176" s="138" t="str">
        <f>IF(OR(Configurator!$D$26&lt;"E",Configurator!$D$23&gt;7,Configurator!$D$23=1,Configurator!$D$23=3),"0","A")</f>
        <v>A</v>
      </c>
      <c r="BJ176" s="138" t="str">
        <f>IF(OR(Configurator!$D$26&lt;"E",Configurator!$D$23&gt;7,Configurator!$D$23=1,Configurator!$D$23=3),"0","A")</f>
        <v>A</v>
      </c>
      <c r="BK176" s="138" t="str">
        <f>IF(OR(Configurator!$D$26&lt;"E",Configurator!$D$23&gt;7,Configurator!$D$23=1,Configurator!$D$23=3),"0","A")</f>
        <v>A</v>
      </c>
      <c r="BL176" s="138" t="str">
        <f>IF(OR(Configurator!$D$26&lt;"E",Configurator!$D$23&gt;7,Configurator!$D$23=1,Configurator!$D$23=3),"0","A")</f>
        <v>A</v>
      </c>
      <c r="BM176" s="138" t="str">
        <f>IF(OR(Configurator!$D$26&lt;"E",Configurator!$D$23&gt;7,Configurator!$D$23=1,Configurator!$D$23=3),"0","A")</f>
        <v>A</v>
      </c>
      <c r="BN176" s="138" t="str">
        <f>IF(OR(Configurator!$D$26&lt;"E",Configurator!$D$23&gt;7,Configurator!$D$23=1,Configurator!$D$23=3),"0","A")</f>
        <v>A</v>
      </c>
      <c r="BO176" s="138" t="str">
        <f>IF(OR(Configurator!$D$26&lt;"E",Configurator!$D$23&gt;7,Configurator!$D$23=1,Configurator!$D$23=3),"0","A")</f>
        <v>A</v>
      </c>
      <c r="BP176" s="138" t="str">
        <f>IF(OR(Configurator!$D$26&lt;"E",Configurator!$D$23&gt;7,Configurator!$D$23=1,Configurator!$D$23=3),"0","A")</f>
        <v>A</v>
      </c>
      <c r="BQ176" s="138" t="str">
        <f>IF(OR(Configurator!$D$26&lt;"E",Configurator!$D$23&gt;7,Configurator!$D$23=1,Configurator!$D$23=3),"0","A")</f>
        <v>A</v>
      </c>
      <c r="BR176" s="138" t="str">
        <f>IF(OR(Configurator!$D$26&lt;"E",Configurator!$D$23&gt;7,Configurator!$D$23=1,Configurator!$D$23=3),"0","A")</f>
        <v>A</v>
      </c>
      <c r="BS176" s="138" t="str">
        <f>IF(OR(Configurator!$D$26&lt;"E",Configurator!$D$23&gt;7,Configurator!$D$23=1,Configurator!$D$23=3),"0","A")</f>
        <v>A</v>
      </c>
      <c r="BT176" s="138" t="str">
        <f>IF(OR(Configurator!$D$26&lt;"E",Configurator!$D$23&gt;7,Configurator!$D$23=1,Configurator!$D$23=3),"0","A")</f>
        <v>A</v>
      </c>
      <c r="BU176" s="138" t="str">
        <f>IF(OR(Configurator!$D$26&lt;"E",Configurator!$D$23&gt;7,Configurator!$D$23=1,Configurator!$D$23=3),"0","A")</f>
        <v>A</v>
      </c>
      <c r="BV176" s="138" t="str">
        <f>IF(OR(Configurator!$D$26&lt;"E",Configurator!$D$23&gt;7,Configurator!$D$23=1,Configurator!$D$23=3),"0","A")</f>
        <v>A</v>
      </c>
      <c r="BW176" s="138" t="str">
        <f>IF(OR(Configurator!$D$26&lt;"E",Configurator!$D$23&gt;7,Configurator!$D$23=1,Configurator!$D$23=3),"0","A")</f>
        <v>A</v>
      </c>
      <c r="BX176" s="138" t="str">
        <f>IF(OR(Configurator!$D$26&lt;"E",Configurator!$D$23&gt;7,Configurator!$D$23=1,Configurator!$D$23=3),"0","A")</f>
        <v>A</v>
      </c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</row>
    <row r="177" spans="2:86" ht="14.25">
      <c r="B177" s="136" t="s">
        <v>15</v>
      </c>
      <c r="C177" s="136" t="s">
        <v>15</v>
      </c>
      <c r="D177" s="136" t="s">
        <v>15</v>
      </c>
      <c r="E177" s="136" t="s">
        <v>15</v>
      </c>
      <c r="F177" s="136" t="s">
        <v>15</v>
      </c>
      <c r="G177" s="136" t="s">
        <v>15</v>
      </c>
      <c r="H177" s="136" t="s">
        <v>15</v>
      </c>
      <c r="I177" s="136" t="s">
        <v>15</v>
      </c>
      <c r="J177" s="136" t="s">
        <v>15</v>
      </c>
      <c r="K177" s="136" t="s">
        <v>15</v>
      </c>
      <c r="L177" s="136" t="s">
        <v>15</v>
      </c>
      <c r="M177" s="136" t="s">
        <v>15</v>
      </c>
      <c r="N177" s="136" t="s">
        <v>15</v>
      </c>
      <c r="O177" s="136" t="s">
        <v>15</v>
      </c>
      <c r="P177" s="136" t="s">
        <v>15</v>
      </c>
      <c r="Q177" s="136" t="s">
        <v>15</v>
      </c>
      <c r="R177" s="136" t="s">
        <v>15</v>
      </c>
      <c r="S177" s="136" t="s">
        <v>15</v>
      </c>
      <c r="T177" s="136" t="s">
        <v>15</v>
      </c>
      <c r="U177" s="136" t="s">
        <v>15</v>
      </c>
      <c r="V177" s="136" t="s">
        <v>15</v>
      </c>
      <c r="W177" s="136" t="s">
        <v>15</v>
      </c>
      <c r="X177" s="138" t="str">
        <f>IF(OR(Configurator!$D$26&lt;"E",Configurator!$D$23&gt;7,Configurator!$D$23=1,Configurator!$D$23=3),"0","B")</f>
        <v>B</v>
      </c>
      <c r="Y177" s="138" t="str">
        <f>IF(OR(Configurator!$D$26&lt;"E",Configurator!$D$23&gt;7,Configurator!$D$23=1,Configurator!$D$23=3),"0","B")</f>
        <v>B</v>
      </c>
      <c r="Z177" s="138" t="str">
        <f>IF(OR(Configurator!$D$26&lt;"E",Configurator!$D$23&gt;7,Configurator!$D$23=1,Configurator!$D$23=3),"0","B")</f>
        <v>B</v>
      </c>
      <c r="AA177" s="138" t="str">
        <f>IF(OR(Configurator!$D$26&lt;"E",Configurator!$D$23&gt;7,Configurator!$D$23=1,Configurator!$D$23=3),"0","B")</f>
        <v>B</v>
      </c>
      <c r="AB177" s="138" t="str">
        <f>IF(OR(Configurator!$D$26&lt;"E",Configurator!$D$23&gt;7,Configurator!$D$23=1,Configurator!$D$23=3),"0","B")</f>
        <v>B</v>
      </c>
      <c r="AC177" s="138" t="str">
        <f>IF(OR(Configurator!$D$26&lt;"E",Configurator!$D$23&gt;7,Configurator!$D$23=1,Configurator!$D$23=3),"0","B")</f>
        <v>B</v>
      </c>
      <c r="AD177" s="138" t="str">
        <f>IF(OR(Configurator!$D$26&lt;"E",Configurator!$D$23&gt;7,Configurator!$D$23=1,Configurator!$D$23=3),"0","B")</f>
        <v>B</v>
      </c>
      <c r="AE177" s="138" t="str">
        <f>IF(OR(Configurator!$D$26&lt;"E",Configurator!$D$23&gt;7,Configurator!$D$23=1,Configurator!$D$23=3),"0","B")</f>
        <v>B</v>
      </c>
      <c r="AF177" s="138" t="str">
        <f>IF(OR(Configurator!$D$26&lt;"E",Configurator!$D$23&gt;7,Configurator!$D$23=1,Configurator!$D$23=3),"0","B")</f>
        <v>B</v>
      </c>
      <c r="AG177" s="138" t="str">
        <f>IF(OR(Configurator!$D$26&lt;"E",Configurator!$D$23&gt;7,Configurator!$D$23=1,Configurator!$D$23=3),"0","B")</f>
        <v>B</v>
      </c>
      <c r="AH177" s="138" t="str">
        <f>IF(OR(Configurator!$D$26&lt;"E",Configurator!$D$23&gt;7,Configurator!$D$23=1,Configurator!$D$23=3),"0","B")</f>
        <v>B</v>
      </c>
      <c r="AI177" s="138" t="str">
        <f>IF(OR(Configurator!$D$26&lt;"E",Configurator!$D$23&gt;7,Configurator!$D$23=1,Configurator!$D$23=3),"0","B")</f>
        <v>B</v>
      </c>
      <c r="AJ177" s="138" t="str">
        <f>IF(OR(Configurator!$D$26&lt;"E",Configurator!$D$23&gt;7,Configurator!$D$23=1,Configurator!$D$23=3),"0","B")</f>
        <v>B</v>
      </c>
      <c r="AK177" s="138" t="str">
        <f>IF(OR(Configurator!$D$26&lt;"E",Configurator!$D$23&gt;7,Configurator!$D$23=1,Configurator!$D$23=3),"0","B")</f>
        <v>B</v>
      </c>
      <c r="AL177" s="138" t="str">
        <f>IF(OR(Configurator!$D$26&lt;"E",Configurator!$D$23&gt;7,Configurator!$D$23=1,Configurator!$D$23=3),"0","B")</f>
        <v>B</v>
      </c>
      <c r="AM177" s="138" t="str">
        <f>IF(OR(Configurator!$D$26&lt;"E",Configurator!$D$23&gt;7,Configurator!$D$23=1,Configurator!$D$23=3),"0","B")</f>
        <v>B</v>
      </c>
      <c r="AN177" s="138" t="str">
        <f>IF(OR(Configurator!$D$26&lt;"E",Configurator!$D$23&gt;7,Configurator!$D$23=1,Configurator!$D$23=3),"0","B")</f>
        <v>B</v>
      </c>
      <c r="AO177" s="138" t="str">
        <f>IF(OR(Configurator!$D$26&lt;"E",Configurator!$D$23&gt;7,Configurator!$D$23=1,Configurator!$D$23=3),"0","B")</f>
        <v>B</v>
      </c>
      <c r="AP177" s="138" t="str">
        <f>IF(OR(Configurator!$D$26&lt;"E",Configurator!$D$23&gt;7,Configurator!$D$23=1,Configurator!$D$23=3),"0","B")</f>
        <v>B</v>
      </c>
      <c r="AQ177" s="138" t="str">
        <f>IF(OR(Configurator!$D$26&lt;"E",Configurator!$D$23&gt;7,Configurator!$D$23=1,Configurator!$D$23=3),"0","B")</f>
        <v>B</v>
      </c>
      <c r="AR177" s="138" t="str">
        <f>IF(OR(Configurator!$D$26&lt;"E",Configurator!$D$23&gt;7,Configurator!$D$23=1,Configurator!$D$23=3),"0","B")</f>
        <v>B</v>
      </c>
      <c r="AS177" s="138" t="str">
        <f>IF(OR(Configurator!$D$26&lt;"E",Configurator!$D$23&gt;7,Configurator!$D$23=1,Configurator!$D$23=3),"0","B")</f>
        <v>B</v>
      </c>
      <c r="AT177" s="138" t="str">
        <f>IF(OR(Configurator!$D$26&lt;"E",Configurator!$D$23&gt;7,Configurator!$D$23=1,Configurator!$D$23=3),"0","B")</f>
        <v>B</v>
      </c>
      <c r="AU177" s="138" t="str">
        <f>IF(OR(Configurator!$D$26&lt;"E",Configurator!$D$23&gt;7,Configurator!$D$23=1,Configurator!$D$23=3),"0","B")</f>
        <v>B</v>
      </c>
      <c r="AV177" s="138" t="str">
        <f>IF(OR(Configurator!$D$26&lt;"E",Configurator!$D$23&gt;7,Configurator!$D$23=1,Configurator!$D$23=3),"0","B")</f>
        <v>B</v>
      </c>
      <c r="AW177" s="138" t="str">
        <f>IF(OR(Configurator!$D$26&lt;"E",Configurator!$D$23&gt;7,Configurator!$D$23=1,Configurator!$D$23=3),"0","B")</f>
        <v>B</v>
      </c>
      <c r="AX177" s="138" t="str">
        <f>IF(OR(Configurator!$D$26&lt;"E",Configurator!$D$23&gt;7,Configurator!$D$23=1,Configurator!$D$23=3),"0","B")</f>
        <v>B</v>
      </c>
      <c r="AY177" s="138" t="str">
        <f>IF(OR(Configurator!$D$26&lt;"E",Configurator!$D$23&gt;7,Configurator!$D$23=1,Configurator!$D$23=3),"0","B")</f>
        <v>B</v>
      </c>
      <c r="AZ177" s="138" t="str">
        <f>IF(OR(Configurator!$D$26&lt;"E",Configurator!$D$23&gt;7,Configurator!$D$23=1,Configurator!$D$23=3),"0","B")</f>
        <v>B</v>
      </c>
      <c r="BA177" s="138" t="str">
        <f>IF(OR(Configurator!$D$26&lt;"E",Configurator!$D$23&gt;7,Configurator!$D$23=1,Configurator!$D$23=3),"0","B")</f>
        <v>B</v>
      </c>
      <c r="BB177" s="138" t="str">
        <f>IF(OR(Configurator!$D$26&lt;"E",Configurator!$D$23&gt;7,Configurator!$D$23=1,Configurator!$D$23=3),"0","B")</f>
        <v>B</v>
      </c>
      <c r="BC177" s="138" t="str">
        <f>IF(OR(Configurator!$D$26&lt;"E",Configurator!$D$23&gt;7,Configurator!$D$23=1,Configurator!$D$23=3),"0","B")</f>
        <v>B</v>
      </c>
      <c r="BD177" s="138" t="str">
        <f>IF(OR(Configurator!$D$26&lt;"E",Configurator!$D$23&gt;7,Configurator!$D$23=1,Configurator!$D$23=3),"0","B")</f>
        <v>B</v>
      </c>
      <c r="BE177" s="138" t="str">
        <f>IF(OR(Configurator!$D$26&lt;"E",Configurator!$D$23&gt;7,Configurator!$D$23=1,Configurator!$D$23=3),"0","B")</f>
        <v>B</v>
      </c>
      <c r="BF177" s="138" t="str">
        <f>IF(OR(Configurator!$D$26&lt;"E",Configurator!$D$23&gt;7,Configurator!$D$23=1,Configurator!$D$23=3),"0","B")</f>
        <v>B</v>
      </c>
      <c r="BG177" s="138" t="str">
        <f>IF(OR(Configurator!$D$26&lt;"E",Configurator!$D$23&gt;7,Configurator!$D$23=1,Configurator!$D$23=3),"0","B")</f>
        <v>B</v>
      </c>
      <c r="BH177" s="138" t="str">
        <f>IF(OR(Configurator!$D$26&lt;"E",Configurator!$D$23&gt;7,Configurator!$D$23=1,Configurator!$D$23=3),"0","B")</f>
        <v>B</v>
      </c>
      <c r="BI177" s="138" t="str">
        <f>IF(OR(Configurator!$D$26&lt;"E",Configurator!$D$23&gt;7,Configurator!$D$23=1,Configurator!$D$23=3),"0","B")</f>
        <v>B</v>
      </c>
      <c r="BJ177" s="138" t="str">
        <f>IF(OR(Configurator!$D$26&lt;"E",Configurator!$D$23&gt;7,Configurator!$D$23=1,Configurator!$D$23=3),"0","B")</f>
        <v>B</v>
      </c>
      <c r="BK177" s="138" t="str">
        <f>IF(OR(Configurator!$D$26&lt;"E",Configurator!$D$23&gt;7,Configurator!$D$23=1,Configurator!$D$23=3),"0","B")</f>
        <v>B</v>
      </c>
      <c r="BL177" s="138" t="str">
        <f>IF(OR(Configurator!$D$26&lt;"E",Configurator!$D$23&gt;7,Configurator!$D$23=1,Configurator!$D$23=3),"0","B")</f>
        <v>B</v>
      </c>
      <c r="BM177" s="138" t="str">
        <f>IF(OR(Configurator!$D$26&lt;"E",Configurator!$D$23&gt;7,Configurator!$D$23=1,Configurator!$D$23=3),"0","B")</f>
        <v>B</v>
      </c>
      <c r="BN177" s="138" t="str">
        <f>IF(OR(Configurator!$D$26&lt;"E",Configurator!$D$23&gt;7,Configurator!$D$23=1,Configurator!$D$23=3),"0","B")</f>
        <v>B</v>
      </c>
      <c r="BO177" s="138" t="str">
        <f>IF(OR(Configurator!$D$26&lt;"E",Configurator!$D$23&gt;7,Configurator!$D$23=1,Configurator!$D$23=3),"0","B")</f>
        <v>B</v>
      </c>
      <c r="BP177" s="138" t="str">
        <f>IF(OR(Configurator!$D$26&lt;"E",Configurator!$D$23&gt;7,Configurator!$D$23=1,Configurator!$D$23=3),"0","B")</f>
        <v>B</v>
      </c>
      <c r="BQ177" s="138" t="str">
        <f>IF(OR(Configurator!$D$26&lt;"E",Configurator!$D$23&gt;7,Configurator!$D$23=1,Configurator!$D$23=3),"0","B")</f>
        <v>B</v>
      </c>
      <c r="BR177" s="138" t="str">
        <f>IF(OR(Configurator!$D$26&lt;"E",Configurator!$D$23&gt;7,Configurator!$D$23=1,Configurator!$D$23=3),"0","B")</f>
        <v>B</v>
      </c>
      <c r="BS177" s="138" t="str">
        <f>IF(OR(Configurator!$D$26&lt;"E",Configurator!$D$23&gt;7,Configurator!$D$23=1,Configurator!$D$23=3),"0","B")</f>
        <v>B</v>
      </c>
      <c r="BT177" s="138" t="str">
        <f>IF(OR(Configurator!$D$26&lt;"E",Configurator!$D$23&gt;7,Configurator!$D$23=1,Configurator!$D$23=3),"0","B")</f>
        <v>B</v>
      </c>
      <c r="BU177" s="138" t="str">
        <f>IF(OR(Configurator!$D$26&lt;"E",Configurator!$D$23&gt;7,Configurator!$D$23=1,Configurator!$D$23=3),"0","B")</f>
        <v>B</v>
      </c>
      <c r="BV177" s="138" t="str">
        <f>IF(OR(Configurator!$D$26&lt;"E",Configurator!$D$23&gt;7,Configurator!$D$23=1,Configurator!$D$23=3),"0","B")</f>
        <v>B</v>
      </c>
      <c r="BW177" s="138" t="str">
        <f>IF(OR(Configurator!$D$26&lt;"E",Configurator!$D$23&gt;7,Configurator!$D$23=1,Configurator!$D$23=3),"0","B")</f>
        <v>B</v>
      </c>
      <c r="BX177" s="138" t="str">
        <f>IF(OR(Configurator!$D$26&lt;"E",Configurator!$D$23&gt;7,Configurator!$D$23=1,Configurator!$D$23=3),"0","B")</f>
        <v>B</v>
      </c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</row>
    <row r="178" spans="1:86" ht="14.25">
      <c r="A178" s="160"/>
      <c r="B178" s="145" t="s">
        <v>15</v>
      </c>
      <c r="C178" s="145" t="s">
        <v>15</v>
      </c>
      <c r="D178" s="145" t="s">
        <v>15</v>
      </c>
      <c r="E178" s="145" t="s">
        <v>15</v>
      </c>
      <c r="F178" s="145" t="s">
        <v>15</v>
      </c>
      <c r="G178" s="145" t="s">
        <v>15</v>
      </c>
      <c r="H178" s="145" t="s">
        <v>15</v>
      </c>
      <c r="I178" s="145" t="s">
        <v>15</v>
      </c>
      <c r="J178" s="145" t="s">
        <v>15</v>
      </c>
      <c r="K178" s="145" t="s">
        <v>15</v>
      </c>
      <c r="L178" s="145" t="s">
        <v>15</v>
      </c>
      <c r="M178" s="145" t="s">
        <v>15</v>
      </c>
      <c r="N178" s="145" t="s">
        <v>15</v>
      </c>
      <c r="O178" s="145" t="s">
        <v>15</v>
      </c>
      <c r="P178" s="145" t="s">
        <v>15</v>
      </c>
      <c r="Q178" s="145" t="s">
        <v>15</v>
      </c>
      <c r="R178" s="145" t="s">
        <v>15</v>
      </c>
      <c r="S178" s="145" t="s">
        <v>15</v>
      </c>
      <c r="T178" s="145" t="s">
        <v>15</v>
      </c>
      <c r="U178" s="145" t="s">
        <v>15</v>
      </c>
      <c r="V178" s="145" t="s">
        <v>15</v>
      </c>
      <c r="W178" s="145" t="s">
        <v>15</v>
      </c>
      <c r="X178" s="138" t="str">
        <f>IF(OR(Configurator!$D$26&lt;"E",Configurator!$D$23&gt;7,Configurator!$D$23=1,Configurator!$D$23=3),"0","C")</f>
        <v>C</v>
      </c>
      <c r="Y178" s="138" t="str">
        <f>IF(OR(Configurator!$D$26&lt;"E",Configurator!$D$23&gt;7,Configurator!$D$23=1,Configurator!$D$23=3),"0","C")</f>
        <v>C</v>
      </c>
      <c r="Z178" s="138" t="str">
        <f>IF(OR(Configurator!$D$26&lt;"E",Configurator!$D$23&gt;7,Configurator!$D$23=1,Configurator!$D$23=3),"0","C")</f>
        <v>C</v>
      </c>
      <c r="AA178" s="138" t="str">
        <f>IF(OR(Configurator!$D$26&lt;"E",Configurator!$D$23&gt;7,Configurator!$D$23=1,Configurator!$D$23=3),"0","C")</f>
        <v>C</v>
      </c>
      <c r="AB178" s="138" t="str">
        <f>IF(OR(Configurator!$D$26&lt;"E",Configurator!$D$23&gt;7,Configurator!$D$23=1,Configurator!$D$23=3),"0","C")</f>
        <v>C</v>
      </c>
      <c r="AC178" s="138" t="str">
        <f>IF(OR(Configurator!$D$26&lt;"E",Configurator!$D$23&gt;7,Configurator!$D$23=1,Configurator!$D$23=3),"0","C")</f>
        <v>C</v>
      </c>
      <c r="AD178" s="138" t="str">
        <f>IF(OR(Configurator!$D$26&lt;"E",Configurator!$D$23&gt;7,Configurator!$D$23=1,Configurator!$D$23=3),"0","C")</f>
        <v>C</v>
      </c>
      <c r="AE178" s="138" t="str">
        <f>IF(OR(Configurator!$D$26&lt;"E",Configurator!$D$23&gt;7,Configurator!$D$23=1,Configurator!$D$23=3),"0","C")</f>
        <v>C</v>
      </c>
      <c r="AF178" s="138" t="str">
        <f>IF(OR(Configurator!$D$26&lt;"E",Configurator!$D$23&gt;7,Configurator!$D$23=1,Configurator!$D$23=3),"0","C")</f>
        <v>C</v>
      </c>
      <c r="AG178" s="138" t="str">
        <f>IF(OR(Configurator!$D$26&lt;"E",Configurator!$D$23&gt;7,Configurator!$D$23=1,Configurator!$D$23=3),"0","C")</f>
        <v>C</v>
      </c>
      <c r="AH178" s="138" t="str">
        <f>IF(OR(Configurator!$D$26&lt;"E",Configurator!$D$23&gt;7,Configurator!$D$23=1,Configurator!$D$23=3),"0","C")</f>
        <v>C</v>
      </c>
      <c r="AI178" s="138" t="str">
        <f>IF(OR(Configurator!$D$26&lt;"E",Configurator!$D$23&gt;7,Configurator!$D$23=1,Configurator!$D$23=3),"0","C")</f>
        <v>C</v>
      </c>
      <c r="AJ178" s="138" t="str">
        <f>IF(OR(Configurator!$D$26&lt;"E",Configurator!$D$23&gt;7,Configurator!$D$23=1,Configurator!$D$23=3),"0","C")</f>
        <v>C</v>
      </c>
      <c r="AK178" s="138" t="str">
        <f>IF(OR(Configurator!$D$26&lt;"E",Configurator!$D$23&gt;7,Configurator!$D$23=1,Configurator!$D$23=3),"0","C")</f>
        <v>C</v>
      </c>
      <c r="AL178" s="138" t="str">
        <f>IF(OR(Configurator!$D$26&lt;"E",Configurator!$D$23&gt;7,Configurator!$D$23=1,Configurator!$D$23=3),"0","C")</f>
        <v>C</v>
      </c>
      <c r="AM178" s="138" t="str">
        <f>IF(OR(Configurator!$D$26&lt;"E",Configurator!$D$23&gt;7,Configurator!$D$23=1,Configurator!$D$23=3),"0","C")</f>
        <v>C</v>
      </c>
      <c r="AN178" s="138" t="str">
        <f>IF(OR(Configurator!$D$26&lt;"E",Configurator!$D$23&gt;7,Configurator!$D$23=1,Configurator!$D$23=3),"0","C")</f>
        <v>C</v>
      </c>
      <c r="AO178" s="138" t="str">
        <f>IF(OR(Configurator!$D$26&lt;"E",Configurator!$D$23&gt;7,Configurator!$D$23=1,Configurator!$D$23=3),"0","C")</f>
        <v>C</v>
      </c>
      <c r="AP178" s="138" t="str">
        <f>IF(OR(Configurator!$D$26&lt;"E",Configurator!$D$23&gt;7,Configurator!$D$23=1,Configurator!$D$23=3),"0","C")</f>
        <v>C</v>
      </c>
      <c r="AQ178" s="138" t="str">
        <f>IF(OR(Configurator!$D$26&lt;"E",Configurator!$D$23&gt;7,Configurator!$D$23=1,Configurator!$D$23=3),"0","C")</f>
        <v>C</v>
      </c>
      <c r="AR178" s="138" t="str">
        <f>IF(OR(Configurator!$D$26&lt;"E",Configurator!$D$23&gt;7,Configurator!$D$23=1,Configurator!$D$23=3),"0","C")</f>
        <v>C</v>
      </c>
      <c r="AS178" s="138" t="str">
        <f>IF(OR(Configurator!$D$26&lt;"E",Configurator!$D$23&gt;7,Configurator!$D$23=1,Configurator!$D$23=3),"0","C")</f>
        <v>C</v>
      </c>
      <c r="AT178" s="138" t="str">
        <f>IF(OR(Configurator!$D$26&lt;"E",Configurator!$D$23&gt;7,Configurator!$D$23=1,Configurator!$D$23=3),"0","C")</f>
        <v>C</v>
      </c>
      <c r="AU178" s="138" t="str">
        <f>IF(OR(Configurator!$D$26&lt;"E",Configurator!$D$23&gt;7,Configurator!$D$23=1,Configurator!$D$23=3),"0","C")</f>
        <v>C</v>
      </c>
      <c r="AV178" s="138" t="str">
        <f>IF(OR(Configurator!$D$26&lt;"E",Configurator!$D$23&gt;7,Configurator!$D$23=1,Configurator!$D$23=3),"0","C")</f>
        <v>C</v>
      </c>
      <c r="AW178" s="138" t="str">
        <f>IF(OR(Configurator!$D$26&lt;"E",Configurator!$D$23&gt;7,Configurator!$D$23=1,Configurator!$D$23=3),"0","C")</f>
        <v>C</v>
      </c>
      <c r="AX178" s="138" t="str">
        <f>IF(OR(Configurator!$D$26&lt;"E",Configurator!$D$23&gt;7,Configurator!$D$23=1,Configurator!$D$23=3),"0","C")</f>
        <v>C</v>
      </c>
      <c r="AY178" s="138" t="str">
        <f>IF(OR(Configurator!$D$26&lt;"E",Configurator!$D$23&gt;7,Configurator!$D$23=1,Configurator!$D$23=3),"0","C")</f>
        <v>C</v>
      </c>
      <c r="AZ178" s="138" t="str">
        <f>IF(OR(Configurator!$D$26&lt;"E",Configurator!$D$23&gt;7,Configurator!$D$23=1,Configurator!$D$23=3),"0","C")</f>
        <v>C</v>
      </c>
      <c r="BA178" s="138" t="str">
        <f>IF(OR(Configurator!$D$26&lt;"E",Configurator!$D$23&gt;7,Configurator!$D$23=1,Configurator!$D$23=3),"0","C")</f>
        <v>C</v>
      </c>
      <c r="BB178" s="138" t="str">
        <f>IF(OR(Configurator!$D$26&lt;"E",Configurator!$D$23&gt;7,Configurator!$D$23=1,Configurator!$D$23=3),"0","C")</f>
        <v>C</v>
      </c>
      <c r="BC178" s="138" t="str">
        <f>IF(OR(Configurator!$D$26&lt;"E",Configurator!$D$23&gt;7,Configurator!$D$23=1,Configurator!$D$23=3),"0","C")</f>
        <v>C</v>
      </c>
      <c r="BD178" s="138" t="str">
        <f>IF(OR(Configurator!$D$26&lt;"E",Configurator!$D$23&gt;7,Configurator!$D$23=1,Configurator!$D$23=3),"0","C")</f>
        <v>C</v>
      </c>
      <c r="BE178" s="138" t="str">
        <f>IF(OR(Configurator!$D$26&lt;"E",Configurator!$D$23&gt;7,Configurator!$D$23=1,Configurator!$D$23=3),"0","C")</f>
        <v>C</v>
      </c>
      <c r="BF178" s="138" t="str">
        <f>IF(OR(Configurator!$D$26&lt;"E",Configurator!$D$23&gt;7,Configurator!$D$23=1,Configurator!$D$23=3),"0","C")</f>
        <v>C</v>
      </c>
      <c r="BG178" s="138" t="str">
        <f>IF(OR(Configurator!$D$26&lt;"E",Configurator!$D$23&gt;7,Configurator!$D$23=1,Configurator!$D$23=3),"0","C")</f>
        <v>C</v>
      </c>
      <c r="BH178" s="138" t="str">
        <f>IF(OR(Configurator!$D$26&lt;"E",Configurator!$D$23&gt;7,Configurator!$D$23=1,Configurator!$D$23=3),"0","C")</f>
        <v>C</v>
      </c>
      <c r="BI178" s="138" t="str">
        <f>IF(OR(Configurator!$D$26&lt;"E",Configurator!$D$23&gt;7,Configurator!$D$23=1,Configurator!$D$23=3),"0","C")</f>
        <v>C</v>
      </c>
      <c r="BJ178" s="138" t="str">
        <f>IF(OR(Configurator!$D$26&lt;"E",Configurator!$D$23&gt;7,Configurator!$D$23=1,Configurator!$D$23=3),"0","C")</f>
        <v>C</v>
      </c>
      <c r="BK178" s="138" t="str">
        <f>IF(OR(Configurator!$D$26&lt;"E",Configurator!$D$23&gt;7,Configurator!$D$23=1,Configurator!$D$23=3),"0","C")</f>
        <v>C</v>
      </c>
      <c r="BL178" s="138" t="str">
        <f>IF(OR(Configurator!$D$26&lt;"E",Configurator!$D$23&gt;7,Configurator!$D$23=1,Configurator!$D$23=3),"0","C")</f>
        <v>C</v>
      </c>
      <c r="BM178" s="138" t="str">
        <f>IF(OR(Configurator!$D$26&lt;"E",Configurator!$D$23&gt;7,Configurator!$D$23=1,Configurator!$D$23=3),"0","C")</f>
        <v>C</v>
      </c>
      <c r="BN178" s="138" t="str">
        <f>IF(OR(Configurator!$D$26&lt;"E",Configurator!$D$23&gt;7,Configurator!$D$23=1,Configurator!$D$23=3),"0","C")</f>
        <v>C</v>
      </c>
      <c r="BO178" s="138" t="str">
        <f>IF(OR(Configurator!$D$26&lt;"E",Configurator!$D$23&gt;7,Configurator!$D$23=1,Configurator!$D$23=3),"0","C")</f>
        <v>C</v>
      </c>
      <c r="BP178" s="138" t="str">
        <f>IF(OR(Configurator!$D$26&lt;"E",Configurator!$D$23&gt;7,Configurator!$D$23=1,Configurator!$D$23=3),"0","C")</f>
        <v>C</v>
      </c>
      <c r="BQ178" s="138" t="str">
        <f>IF(OR(Configurator!$D$26&lt;"E",Configurator!$D$23&gt;7,Configurator!$D$23=1,Configurator!$D$23=3),"0","C")</f>
        <v>C</v>
      </c>
      <c r="BR178" s="138" t="str">
        <f>IF(OR(Configurator!$D$26&lt;"E",Configurator!$D$23&gt;7,Configurator!$D$23=1,Configurator!$D$23=3),"0","C")</f>
        <v>C</v>
      </c>
      <c r="BS178" s="138" t="str">
        <f>IF(OR(Configurator!$D$26&lt;"E",Configurator!$D$23&gt;7,Configurator!$D$23=1,Configurator!$D$23=3),"0","C")</f>
        <v>C</v>
      </c>
      <c r="BT178" s="138" t="str">
        <f>IF(OR(Configurator!$D$26&lt;"E",Configurator!$D$23&gt;7,Configurator!$D$23=1,Configurator!$D$23=3),"0","C")</f>
        <v>C</v>
      </c>
      <c r="BU178" s="138" t="str">
        <f>IF(OR(Configurator!$D$26&lt;"E",Configurator!$D$23&gt;7,Configurator!$D$23=1,Configurator!$D$23=3),"0","C")</f>
        <v>C</v>
      </c>
      <c r="BV178" s="138" t="str">
        <f>IF(OR(Configurator!$D$26&lt;"E",Configurator!$D$23&gt;7,Configurator!$D$23=1,Configurator!$D$23=3),"0","C")</f>
        <v>C</v>
      </c>
      <c r="BW178" s="138" t="str">
        <f>IF(OR(Configurator!$D$26&lt;"E",Configurator!$D$23&gt;7,Configurator!$D$23=1,Configurator!$D$23=3),"0","C")</f>
        <v>C</v>
      </c>
      <c r="BX178" s="138" t="str">
        <f>IF(OR(Configurator!$D$26&lt;"E",Configurator!$D$23&gt;7,Configurator!$D$23=1,Configurator!$D$23=3),"0","C")</f>
        <v>C</v>
      </c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</row>
    <row r="179" spans="1:86" ht="14.25">
      <c r="A179" s="160"/>
      <c r="B179" s="145" t="s">
        <v>1073</v>
      </c>
      <c r="C179" s="145" t="s">
        <v>1073</v>
      </c>
      <c r="D179" s="145" t="s">
        <v>1073</v>
      </c>
      <c r="E179" s="145" t="s">
        <v>1073</v>
      </c>
      <c r="F179" s="145" t="s">
        <v>1073</v>
      </c>
      <c r="G179" s="145" t="s">
        <v>1073</v>
      </c>
      <c r="H179" s="145" t="s">
        <v>1073</v>
      </c>
      <c r="I179" s="145" t="s">
        <v>1073</v>
      </c>
      <c r="J179" s="145" t="s">
        <v>1073</v>
      </c>
      <c r="K179" s="145" t="s">
        <v>1073</v>
      </c>
      <c r="L179" s="145" t="s">
        <v>1073</v>
      </c>
      <c r="M179" s="145" t="s">
        <v>1073</v>
      </c>
      <c r="N179" s="145" t="s">
        <v>1073</v>
      </c>
      <c r="O179" s="145" t="s">
        <v>15</v>
      </c>
      <c r="P179" s="145" t="s">
        <v>15</v>
      </c>
      <c r="Q179" s="145" t="s">
        <v>15</v>
      </c>
      <c r="R179" s="145" t="s">
        <v>15</v>
      </c>
      <c r="S179" s="145" t="s">
        <v>15</v>
      </c>
      <c r="T179" s="145" t="s">
        <v>15</v>
      </c>
      <c r="U179" s="145" t="s">
        <v>15</v>
      </c>
      <c r="V179" s="145" t="s">
        <v>15</v>
      </c>
      <c r="W179" s="145" t="s">
        <v>15</v>
      </c>
      <c r="X179" s="138" t="str">
        <f>IF(OR(Configurator!$D$26&lt;"E",Configurator!$D$23&gt;7,Configurator!$D$23=1,Configurator!$D$23=3),"0","D")</f>
        <v>D</v>
      </c>
      <c r="Y179" s="138" t="str">
        <f>IF(OR(Configurator!$D$26&lt;"E",Configurator!$D$23&gt;7,Configurator!$D$23=1,Configurator!$D$23=3),"0","D")</f>
        <v>D</v>
      </c>
      <c r="Z179" s="138" t="str">
        <f>IF(OR(Configurator!$D$26&lt;"E",Configurator!$D$23&gt;7,Configurator!$D$23=1,Configurator!$D$23=3),"0","D")</f>
        <v>D</v>
      </c>
      <c r="AA179" s="138" t="str">
        <f>IF(OR(Configurator!$D$26&lt;"E",Configurator!$D$23&gt;7,Configurator!$D$23=1,Configurator!$D$23=3),"0","D")</f>
        <v>D</v>
      </c>
      <c r="AB179" s="138" t="str">
        <f>IF(OR(Configurator!$D$26&lt;"E",Configurator!$D$23&gt;7,Configurator!$D$23=1,Configurator!$D$23=3),"0","D")</f>
        <v>D</v>
      </c>
      <c r="AC179" s="138" t="str">
        <f>IF(OR(Configurator!$D$26&lt;"E",Configurator!$D$23&gt;7,Configurator!$D$23=1,Configurator!$D$23=3),"0","D")</f>
        <v>D</v>
      </c>
      <c r="AD179" s="138" t="str">
        <f>IF(OR(Configurator!$D$26&lt;"E",Configurator!$D$23&gt;7,Configurator!$D$23=1,Configurator!$D$23=3),"0","D")</f>
        <v>D</v>
      </c>
      <c r="AE179" s="138" t="str">
        <f>IF(OR(Configurator!$D$26&lt;"E",Configurator!$D$23&gt;7,Configurator!$D$23=1,Configurator!$D$23=3),"0","D")</f>
        <v>D</v>
      </c>
      <c r="AF179" s="138" t="str">
        <f>IF(OR(Configurator!$D$26&lt;"E",Configurator!$D$23&gt;7,Configurator!$D$23=1,Configurator!$D$23=3),"0","D")</f>
        <v>D</v>
      </c>
      <c r="AG179" s="138" t="str">
        <f>IF(OR(Configurator!$D$26&lt;"E",Configurator!$D$23&gt;7,Configurator!$D$23=1,Configurator!$D$23=3),"0","D")</f>
        <v>D</v>
      </c>
      <c r="AH179" s="138" t="str">
        <f>IF(OR(Configurator!$D$26&lt;"E",Configurator!$D$23&gt;7,Configurator!$D$23=1,Configurator!$D$23=3),"0","D")</f>
        <v>D</v>
      </c>
      <c r="AI179" s="138" t="str">
        <f>IF(OR(Configurator!$D$26&lt;"E",Configurator!$D$23&gt;7,Configurator!$D$23=1,Configurator!$D$23=3),"0","D")</f>
        <v>D</v>
      </c>
      <c r="AJ179" s="138" t="str">
        <f>IF(OR(Configurator!$D$26&lt;"E",Configurator!$D$23&gt;7,Configurator!$D$23=1,Configurator!$D$23=3),"0","D")</f>
        <v>D</v>
      </c>
      <c r="AK179" s="138" t="str">
        <f>IF(OR(Configurator!$D$26&lt;"E",Configurator!$D$23&gt;7,Configurator!$D$23=1,Configurator!$D$23=3),"0","D")</f>
        <v>D</v>
      </c>
      <c r="AL179" s="138" t="str">
        <f>IF(OR(Configurator!$D$26&lt;"E",Configurator!$D$23&gt;7,Configurator!$D$23=1,Configurator!$D$23=3),"0","D")</f>
        <v>D</v>
      </c>
      <c r="AM179" s="138" t="str">
        <f>IF(OR(Configurator!$D$26&lt;"E",Configurator!$D$23&gt;7,Configurator!$D$23=1,Configurator!$D$23=3),"0","D")</f>
        <v>D</v>
      </c>
      <c r="AN179" s="138" t="str">
        <f>IF(OR(Configurator!$D$26&lt;"E",Configurator!$D$23&gt;7,Configurator!$D$23=1,Configurator!$D$23=3),"0","D")</f>
        <v>D</v>
      </c>
      <c r="AO179" s="138" t="str">
        <f>IF(OR(Configurator!$D$26&lt;"E",Configurator!$D$23&gt;7,Configurator!$D$23=1,Configurator!$D$23=3),"0","D")</f>
        <v>D</v>
      </c>
      <c r="AP179" s="138" t="str">
        <f>IF(OR(Configurator!$D$26&lt;"E",Configurator!$D$23&gt;7,Configurator!$D$23=1,Configurator!$D$23=3),"0","D")</f>
        <v>D</v>
      </c>
      <c r="AQ179" s="138" t="str">
        <f>IF(OR(Configurator!$D$26&lt;"E",Configurator!$D$23&gt;7,Configurator!$D$23=1,Configurator!$D$23=3),"0","D")</f>
        <v>D</v>
      </c>
      <c r="AR179" s="138" t="str">
        <f>IF(OR(Configurator!$D$26&lt;"E",Configurator!$D$23&gt;7,Configurator!$D$23=1,Configurator!$D$23=3),"0","D")</f>
        <v>D</v>
      </c>
      <c r="AS179" s="138" t="str">
        <f>IF(OR(Configurator!$D$26&lt;"E",Configurator!$D$23&gt;7,Configurator!$D$23=1,Configurator!$D$23=3),"0","D")</f>
        <v>D</v>
      </c>
      <c r="AT179" s="138" t="str">
        <f>IF(OR(Configurator!$D$26&lt;"E",Configurator!$D$23&gt;7,Configurator!$D$23=1,Configurator!$D$23=3),"0","D")</f>
        <v>D</v>
      </c>
      <c r="AU179" s="138" t="str">
        <f>IF(OR(Configurator!$D$26&lt;"E",Configurator!$D$23&gt;7,Configurator!$D$23=1,Configurator!$D$23=3),"0","D")</f>
        <v>D</v>
      </c>
      <c r="AV179" s="138" t="str">
        <f>IF(OR(Configurator!$D$26&lt;"E",Configurator!$D$23&gt;7,Configurator!$D$23=1,Configurator!$D$23=3),"0","D")</f>
        <v>D</v>
      </c>
      <c r="AW179" s="138" t="str">
        <f>IF(OR(Configurator!$D$26&lt;"E",Configurator!$D$23&gt;7,Configurator!$D$23=1,Configurator!$D$23=3),"0","D")</f>
        <v>D</v>
      </c>
      <c r="AX179" s="138" t="str">
        <f>IF(OR(Configurator!$D$26&lt;"E",Configurator!$D$23&gt;7,Configurator!$D$23=1,Configurator!$D$23=3),"0","D")</f>
        <v>D</v>
      </c>
      <c r="AY179" s="138" t="str">
        <f>IF(OR(Configurator!$D$26&lt;"E",Configurator!$D$23&gt;7,Configurator!$D$23=1,Configurator!$D$23=3),"0","D")</f>
        <v>D</v>
      </c>
      <c r="AZ179" s="138" t="str">
        <f>IF(OR(Configurator!$D$26&lt;"E",Configurator!$D$23&gt;7,Configurator!$D$23=1,Configurator!$D$23=3),"0","D")</f>
        <v>D</v>
      </c>
      <c r="BA179" s="138" t="str">
        <f>IF(OR(Configurator!$D$26&lt;"E",Configurator!$D$23&gt;7,Configurator!$D$23=1,Configurator!$D$23=3),"0","D")</f>
        <v>D</v>
      </c>
      <c r="BB179" s="138" t="str">
        <f>IF(OR(Configurator!$D$26&lt;"E",Configurator!$D$23&gt;7,Configurator!$D$23=1,Configurator!$D$23=3),"0","D")</f>
        <v>D</v>
      </c>
      <c r="BC179" s="138" t="str">
        <f>IF(OR(Configurator!$D$26&lt;"E",Configurator!$D$23&gt;7,Configurator!$D$23=1,Configurator!$D$23=3),"0","D")</f>
        <v>D</v>
      </c>
      <c r="BD179" s="138" t="str">
        <f>IF(OR(Configurator!$D$26&lt;"E",Configurator!$D$23&gt;7,Configurator!$D$23=1,Configurator!$D$23=3),"0","D")</f>
        <v>D</v>
      </c>
      <c r="BE179" s="138" t="str">
        <f>IF(OR(Configurator!$D$26&lt;"E",Configurator!$D$23&gt;7,Configurator!$D$23=1,Configurator!$D$23=3),"0","D")</f>
        <v>D</v>
      </c>
      <c r="BF179" s="138" t="str">
        <f>IF(OR(Configurator!$D$26&lt;"E",Configurator!$D$23&gt;7,Configurator!$D$23=1,Configurator!$D$23=3),"0","D")</f>
        <v>D</v>
      </c>
      <c r="BG179" s="138" t="str">
        <f>IF(OR(Configurator!$D$26&lt;"E",Configurator!$D$23&gt;7,Configurator!$D$23=1,Configurator!$D$23=3),"0","D")</f>
        <v>D</v>
      </c>
      <c r="BH179" s="138" t="str">
        <f>IF(OR(Configurator!$D$26&lt;"E",Configurator!$D$23&gt;7,Configurator!$D$23=1,Configurator!$D$23=3),"0","D")</f>
        <v>D</v>
      </c>
      <c r="BI179" s="138" t="str">
        <f>IF(OR(Configurator!$D$26&lt;"E",Configurator!$D$23&gt;7,Configurator!$D$23=1,Configurator!$D$23=3),"0","D")</f>
        <v>D</v>
      </c>
      <c r="BJ179" s="138" t="str">
        <f>IF(OR(Configurator!$D$26&lt;"E",Configurator!$D$23&gt;7,Configurator!$D$23=1,Configurator!$D$23=3),"0","D")</f>
        <v>D</v>
      </c>
      <c r="BK179" s="138" t="str">
        <f>IF(OR(Configurator!$D$26&lt;"E",Configurator!$D$23&gt;7,Configurator!$D$23=1,Configurator!$D$23=3),"0","D")</f>
        <v>D</v>
      </c>
      <c r="BL179" s="138" t="str">
        <f>IF(OR(Configurator!$D$26&lt;"E",Configurator!$D$23&gt;7,Configurator!$D$23=1,Configurator!$D$23=3),"0","D")</f>
        <v>D</v>
      </c>
      <c r="BM179" s="138" t="str">
        <f>IF(OR(Configurator!$D$26&lt;"E",Configurator!$D$23&gt;7,Configurator!$D$23=1,Configurator!$D$23=3),"0","D")</f>
        <v>D</v>
      </c>
      <c r="BN179" s="138" t="str">
        <f>IF(OR(Configurator!$D$26&lt;"E",Configurator!$D$23&gt;7,Configurator!$D$23=1,Configurator!$D$23=3),"0","D")</f>
        <v>D</v>
      </c>
      <c r="BO179" s="138" t="str">
        <f>IF(OR(Configurator!$D$26&lt;"E",Configurator!$D$23&gt;7,Configurator!$D$23=1,Configurator!$D$23=3),"0","D")</f>
        <v>D</v>
      </c>
      <c r="BP179" s="138" t="str">
        <f>IF(OR(Configurator!$D$26&lt;"E",Configurator!$D$23&gt;7,Configurator!$D$23=1,Configurator!$D$23=3),"0","D")</f>
        <v>D</v>
      </c>
      <c r="BQ179" s="138" t="str">
        <f>IF(OR(Configurator!$D$26&lt;"E",Configurator!$D$23&gt;7,Configurator!$D$23=1,Configurator!$D$23=3),"0","D")</f>
        <v>D</v>
      </c>
      <c r="BR179" s="138" t="str">
        <f>IF(OR(Configurator!$D$26&lt;"E",Configurator!$D$23&gt;7,Configurator!$D$23=1,Configurator!$D$23=3),"0","D")</f>
        <v>D</v>
      </c>
      <c r="BS179" s="138" t="str">
        <f>IF(OR(Configurator!$D$26&lt;"E",Configurator!$D$23&gt;7,Configurator!$D$23=1,Configurator!$D$23=3),"0","D")</f>
        <v>D</v>
      </c>
      <c r="BT179" s="138" t="str">
        <f>IF(OR(Configurator!$D$26&lt;"E",Configurator!$D$23&gt;7,Configurator!$D$23=1,Configurator!$D$23=3),"0","D")</f>
        <v>D</v>
      </c>
      <c r="BU179" s="138" t="str">
        <f>IF(OR(Configurator!$D$26&lt;"E",Configurator!$D$23&gt;7,Configurator!$D$23=1,Configurator!$D$23=3),"0","D")</f>
        <v>D</v>
      </c>
      <c r="BV179" s="138" t="str">
        <f>IF(OR(Configurator!$D$26&lt;"E",Configurator!$D$23&gt;7,Configurator!$D$23=1,Configurator!$D$23=3),"0","D")</f>
        <v>D</v>
      </c>
      <c r="BW179" s="138" t="str">
        <f>IF(OR(Configurator!$D$26&lt;"E",Configurator!$D$23&gt;7,Configurator!$D$23=1,Configurator!$D$23=3),"0","D")</f>
        <v>D</v>
      </c>
      <c r="BX179" s="138" t="str">
        <f>IF(OR(Configurator!$D$26&lt;"E",Configurator!$D$23&gt;7,Configurator!$D$23=1,Configurator!$D$23=3),"0","D")</f>
        <v>D</v>
      </c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</row>
    <row r="180" spans="1:86" ht="14.25">
      <c r="A180" s="161">
        <f>HLOOKUP($B$1,$B$2:$CT$112,59)</f>
        <v>1</v>
      </c>
      <c r="B180" s="162" t="str">
        <f>HLOOKUP($B$1,$B$2:$CT$112,60)</f>
        <v> </v>
      </c>
      <c r="C180" s="161" t="str">
        <f>HLOOKUP($B$1,$B$2:$CT$112,62)</f>
        <v> </v>
      </c>
      <c r="D180" s="162" t="str">
        <f>HLOOKUP($B$1,$B$2:$CT$112,62)</f>
        <v> </v>
      </c>
      <c r="E180" s="162" t="str">
        <f>HLOOKUP($B$1,$B$2:$CT$112,62)</f>
        <v> </v>
      </c>
      <c r="F180" s="204" t="s">
        <v>1073</v>
      </c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</row>
    <row r="181" spans="1:86" ht="14.25">
      <c r="A181" s="163">
        <f>HLOOKUP($B$1,$B$2:$CT$112,63)</f>
        <v>2</v>
      </c>
      <c r="B181" s="138" t="str">
        <f>HLOOKUP($B$1,$B$2:$CT$112,64)</f>
        <v>for connection to wire, RS485, isolated</v>
      </c>
      <c r="C181" s="163" t="str">
        <f>HLOOKUP($B$1,$B$2:$CT$112,65)</f>
        <v>for connection to plastic fibre, FSMA connector</v>
      </c>
      <c r="D181" s="138" t="str">
        <f>HLOOKUP($B$1,$B$2:$CT$112,66)</f>
        <v>for connection to glass fibre, ST connector</v>
      </c>
      <c r="E181" s="138">
        <f>HLOOKUP($B$1,$B$2:$CT$112,67)</f>
        <v>3</v>
      </c>
      <c r="F181" s="139" t="s">
        <v>1073</v>
      </c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</row>
    <row r="182" spans="1:86" ht="14.25">
      <c r="A182" s="163">
        <f>HLOOKUP($B$1,$B$2:$CT$112,67)</f>
        <v>3</v>
      </c>
      <c r="B182" s="138" t="str">
        <f>HLOOKUP($B$1,$B$2:$CT$112,68)</f>
        <v>For connection to 100Mhz Ethernet, glass fibre SC and wire RJ45 and 2nd interface (RS485, IEC 60870-5-103)</v>
      </c>
      <c r="C182" s="163" t="str">
        <f>HLOOKUP($B$1,$B$2:$CT$112,69)</f>
        <v>For connection to 100Mhz Ethernet, glass fibre ST and wire RJ45 and 2nd interface (RS485, IEC 60870-5-103)</v>
      </c>
      <c r="D182" s="138" t="str">
        <f>HLOOKUP($B$1,$B$2:$CT$112,70)</f>
        <v> </v>
      </c>
      <c r="E182" s="138" t="str">
        <f>HLOOKUP($B$1,$B$2:$CT$112,71)</f>
        <v> </v>
      </c>
      <c r="F182" s="139" t="s">
        <v>1073</v>
      </c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</row>
    <row r="183" spans="1:86" ht="14.25">
      <c r="A183" s="163"/>
      <c r="B183" s="138"/>
      <c r="C183" s="163"/>
      <c r="D183" s="138"/>
      <c r="E183" s="138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</row>
    <row r="184" spans="2:3" ht="14.25">
      <c r="B184" s="94"/>
      <c r="C184" s="94"/>
    </row>
    <row r="185" spans="1:86" ht="14.25">
      <c r="A185" s="94" t="s">
        <v>205</v>
      </c>
      <c r="B185" s="165">
        <v>30</v>
      </c>
      <c r="C185" s="165">
        <v>30</v>
      </c>
      <c r="D185" s="165">
        <v>30</v>
      </c>
      <c r="E185" s="165">
        <v>30</v>
      </c>
      <c r="F185" s="165">
        <v>30</v>
      </c>
      <c r="G185" s="165">
        <v>30</v>
      </c>
      <c r="H185" s="165">
        <v>30</v>
      </c>
      <c r="I185" s="165">
        <v>30</v>
      </c>
      <c r="J185" s="165">
        <v>30</v>
      </c>
      <c r="K185" s="165">
        <v>30</v>
      </c>
      <c r="L185" s="165">
        <v>30</v>
      </c>
      <c r="M185" s="165">
        <v>30</v>
      </c>
      <c r="N185" s="165">
        <v>30</v>
      </c>
      <c r="O185" s="165">
        <v>30</v>
      </c>
      <c r="P185" s="165">
        <v>30</v>
      </c>
      <c r="Q185" s="165" t="s">
        <v>206</v>
      </c>
      <c r="R185" s="165" t="s">
        <v>206</v>
      </c>
      <c r="S185" s="165" t="s">
        <v>206</v>
      </c>
      <c r="T185" s="165" t="s">
        <v>206</v>
      </c>
      <c r="U185" s="165" t="s">
        <v>206</v>
      </c>
      <c r="V185" s="165" t="s">
        <v>206</v>
      </c>
      <c r="W185" s="165" t="s">
        <v>206</v>
      </c>
      <c r="X185" s="165" t="s">
        <v>206</v>
      </c>
      <c r="Y185" s="165" t="s">
        <v>206</v>
      </c>
      <c r="Z185" s="165" t="s">
        <v>206</v>
      </c>
      <c r="AA185" s="165" t="s">
        <v>206</v>
      </c>
      <c r="AB185" s="165" t="s">
        <v>206</v>
      </c>
      <c r="AC185" s="165" t="s">
        <v>206</v>
      </c>
      <c r="AD185" s="165" t="s">
        <v>206</v>
      </c>
      <c r="AE185" s="165" t="s">
        <v>206</v>
      </c>
      <c r="AF185" s="165" t="s">
        <v>206</v>
      </c>
      <c r="AG185" s="165" t="s">
        <v>206</v>
      </c>
      <c r="AH185" s="165" t="s">
        <v>206</v>
      </c>
      <c r="AI185" s="165" t="s">
        <v>206</v>
      </c>
      <c r="AJ185" s="165" t="s">
        <v>206</v>
      </c>
      <c r="AK185" s="165" t="s">
        <v>206</v>
      </c>
      <c r="AL185" s="165" t="s">
        <v>206</v>
      </c>
      <c r="AM185" s="165" t="s">
        <v>206</v>
      </c>
      <c r="AN185" s="165" t="s">
        <v>206</v>
      </c>
      <c r="AO185" s="165" t="s">
        <v>206</v>
      </c>
      <c r="AP185" s="165" t="s">
        <v>206</v>
      </c>
      <c r="AQ185" s="165" t="s">
        <v>206</v>
      </c>
      <c r="AR185" s="165" t="s">
        <v>206</v>
      </c>
      <c r="AS185" s="165" t="s">
        <v>206</v>
      </c>
      <c r="AT185" s="165" t="s">
        <v>206</v>
      </c>
      <c r="AU185" s="165" t="s">
        <v>206</v>
      </c>
      <c r="AV185" s="165" t="s">
        <v>206</v>
      </c>
      <c r="AW185" s="165" t="s">
        <v>206</v>
      </c>
      <c r="AX185" s="165" t="s">
        <v>206</v>
      </c>
      <c r="AY185" s="165" t="s">
        <v>206</v>
      </c>
      <c r="AZ185" s="165" t="s">
        <v>206</v>
      </c>
      <c r="BA185" s="165" t="s">
        <v>206</v>
      </c>
      <c r="BB185" s="159" t="s">
        <v>206</v>
      </c>
      <c r="BC185" s="159" t="s">
        <v>206</v>
      </c>
      <c r="BD185" s="159" t="s">
        <v>206</v>
      </c>
      <c r="BE185" s="159" t="s">
        <v>206</v>
      </c>
      <c r="BF185" s="159" t="s">
        <v>206</v>
      </c>
      <c r="BG185" s="159" t="s">
        <v>206</v>
      </c>
      <c r="BH185" s="159" t="s">
        <v>206</v>
      </c>
      <c r="BI185" s="159" t="s">
        <v>206</v>
      </c>
      <c r="BJ185" s="159" t="s">
        <v>206</v>
      </c>
      <c r="BK185" s="159" t="s">
        <v>206</v>
      </c>
      <c r="BL185" s="159" t="s">
        <v>206</v>
      </c>
      <c r="BM185" s="159" t="s">
        <v>206</v>
      </c>
      <c r="BN185" s="159" t="s">
        <v>206</v>
      </c>
      <c r="BO185" s="159" t="s">
        <v>206</v>
      </c>
      <c r="BP185" s="159" t="s">
        <v>206</v>
      </c>
      <c r="BQ185" s="159" t="s">
        <v>206</v>
      </c>
      <c r="BR185" s="159" t="s">
        <v>206</v>
      </c>
      <c r="BS185" s="159" t="s">
        <v>206</v>
      </c>
      <c r="BT185" s="159" t="s">
        <v>206</v>
      </c>
      <c r="BU185" s="159" t="s">
        <v>206</v>
      </c>
      <c r="BV185" s="159" t="s">
        <v>206</v>
      </c>
      <c r="BW185" s="159" t="s">
        <v>206</v>
      </c>
      <c r="BX185" s="159" t="s">
        <v>206</v>
      </c>
      <c r="BY185" s="197"/>
      <c r="BZ185" s="197"/>
      <c r="CA185" s="197"/>
      <c r="CB185" s="197"/>
      <c r="CC185" s="197"/>
      <c r="CD185" s="197"/>
      <c r="CE185" s="197"/>
      <c r="CF185" s="197"/>
      <c r="CG185" s="197"/>
      <c r="CH185" s="197"/>
    </row>
    <row r="186" spans="2:86" ht="14.25">
      <c r="B186" s="165">
        <v>32</v>
      </c>
      <c r="C186" s="165">
        <v>32</v>
      </c>
      <c r="D186" s="165">
        <v>32</v>
      </c>
      <c r="E186" s="165">
        <v>32</v>
      </c>
      <c r="F186" s="165">
        <v>32</v>
      </c>
      <c r="G186" s="165">
        <v>32</v>
      </c>
      <c r="H186" s="165">
        <v>32</v>
      </c>
      <c r="I186" s="165">
        <v>32</v>
      </c>
      <c r="J186" s="165">
        <v>32</v>
      </c>
      <c r="K186" s="165">
        <v>32</v>
      </c>
      <c r="L186" s="165">
        <v>32</v>
      </c>
      <c r="M186" s="165">
        <v>32</v>
      </c>
      <c r="N186" s="165">
        <v>32</v>
      </c>
      <c r="O186" s="165">
        <v>32</v>
      </c>
      <c r="P186" s="165">
        <v>32</v>
      </c>
      <c r="Q186" s="165" t="s">
        <v>207</v>
      </c>
      <c r="R186" s="165" t="s">
        <v>207</v>
      </c>
      <c r="S186" s="165" t="s">
        <v>207</v>
      </c>
      <c r="T186" s="165" t="s">
        <v>207</v>
      </c>
      <c r="U186" s="165" t="s">
        <v>207</v>
      </c>
      <c r="V186" s="165" t="s">
        <v>207</v>
      </c>
      <c r="W186" s="165" t="s">
        <v>207</v>
      </c>
      <c r="X186" s="165" t="s">
        <v>207</v>
      </c>
      <c r="Y186" s="165" t="s">
        <v>207</v>
      </c>
      <c r="Z186" s="165" t="s">
        <v>207</v>
      </c>
      <c r="AA186" s="165" t="s">
        <v>207</v>
      </c>
      <c r="AB186" s="165" t="s">
        <v>207</v>
      </c>
      <c r="AC186" s="165" t="s">
        <v>207</v>
      </c>
      <c r="AD186" s="165" t="s">
        <v>207</v>
      </c>
      <c r="AE186" s="165" t="s">
        <v>207</v>
      </c>
      <c r="AF186" s="165" t="s">
        <v>207</v>
      </c>
      <c r="AG186" s="165" t="s">
        <v>207</v>
      </c>
      <c r="AH186" s="165" t="s">
        <v>207</v>
      </c>
      <c r="AI186" s="165" t="s">
        <v>207</v>
      </c>
      <c r="AJ186" s="165" t="s">
        <v>207</v>
      </c>
      <c r="AK186" s="165" t="s">
        <v>207</v>
      </c>
      <c r="AL186" s="165" t="s">
        <v>207</v>
      </c>
      <c r="AM186" s="165" t="s">
        <v>207</v>
      </c>
      <c r="AN186" s="165" t="s">
        <v>207</v>
      </c>
      <c r="AO186" s="165" t="s">
        <v>207</v>
      </c>
      <c r="AP186" s="165" t="s">
        <v>207</v>
      </c>
      <c r="AQ186" s="165" t="s">
        <v>207</v>
      </c>
      <c r="AR186" s="165" t="s">
        <v>207</v>
      </c>
      <c r="AS186" s="165" t="s">
        <v>207</v>
      </c>
      <c r="AT186" s="165" t="s">
        <v>207</v>
      </c>
      <c r="AU186" s="165" t="s">
        <v>207</v>
      </c>
      <c r="AV186" s="165" t="s">
        <v>207</v>
      </c>
      <c r="AW186" s="165" t="s">
        <v>207</v>
      </c>
      <c r="AX186" s="165" t="s">
        <v>207</v>
      </c>
      <c r="AY186" s="165" t="s">
        <v>207</v>
      </c>
      <c r="AZ186" s="165" t="s">
        <v>207</v>
      </c>
      <c r="BA186" s="165" t="s">
        <v>207</v>
      </c>
      <c r="BB186" s="159" t="s">
        <v>207</v>
      </c>
      <c r="BC186" s="159" t="s">
        <v>207</v>
      </c>
      <c r="BD186" s="159" t="s">
        <v>207</v>
      </c>
      <c r="BE186" s="159" t="s">
        <v>207</v>
      </c>
      <c r="BF186" s="159" t="s">
        <v>207</v>
      </c>
      <c r="BG186" s="159" t="s">
        <v>207</v>
      </c>
      <c r="BH186" s="159" t="s">
        <v>207</v>
      </c>
      <c r="BI186" s="159" t="s">
        <v>207</v>
      </c>
      <c r="BJ186" s="159" t="s">
        <v>207</v>
      </c>
      <c r="BK186" s="159" t="s">
        <v>207</v>
      </c>
      <c r="BL186" s="159" t="s">
        <v>207</v>
      </c>
      <c r="BM186" s="159" t="s">
        <v>207</v>
      </c>
      <c r="BN186" s="159" t="s">
        <v>207</v>
      </c>
      <c r="BO186" s="159" t="s">
        <v>207</v>
      </c>
      <c r="BP186" s="159" t="s">
        <v>207</v>
      </c>
      <c r="BQ186" s="159" t="s">
        <v>207</v>
      </c>
      <c r="BR186" s="159" t="s">
        <v>207</v>
      </c>
      <c r="BS186" s="159" t="s">
        <v>207</v>
      </c>
      <c r="BT186" s="159" t="s">
        <v>207</v>
      </c>
      <c r="BU186" s="159" t="s">
        <v>207</v>
      </c>
      <c r="BV186" s="159" t="s">
        <v>207</v>
      </c>
      <c r="BW186" s="159" t="s">
        <v>207</v>
      </c>
      <c r="BX186" s="159" t="s">
        <v>207</v>
      </c>
      <c r="BY186" s="197"/>
      <c r="BZ186" s="197"/>
      <c r="CA186" s="197"/>
      <c r="CB186" s="197"/>
      <c r="CC186" s="197"/>
      <c r="CD186" s="197"/>
      <c r="CE186" s="197"/>
      <c r="CF186" s="197"/>
      <c r="CG186" s="197"/>
      <c r="CH186" s="197"/>
    </row>
    <row r="187" spans="2:86" ht="14.25">
      <c r="B187" s="165" t="s">
        <v>0</v>
      </c>
      <c r="C187" s="165" t="s">
        <v>0</v>
      </c>
      <c r="D187" s="165" t="s">
        <v>0</v>
      </c>
      <c r="E187" s="165" t="s">
        <v>0</v>
      </c>
      <c r="F187" s="165" t="s">
        <v>0</v>
      </c>
      <c r="G187" s="165" t="s">
        <v>0</v>
      </c>
      <c r="H187" s="165" t="s">
        <v>0</v>
      </c>
      <c r="I187" s="165" t="s">
        <v>0</v>
      </c>
      <c r="J187" s="165" t="s">
        <v>0</v>
      </c>
      <c r="K187" s="165" t="s">
        <v>0</v>
      </c>
      <c r="L187" s="165" t="s">
        <v>0</v>
      </c>
      <c r="M187" s="165" t="s">
        <v>0</v>
      </c>
      <c r="N187" s="165" t="s">
        <v>0</v>
      </c>
      <c r="O187" s="165" t="s">
        <v>0</v>
      </c>
      <c r="P187" s="165" t="s">
        <v>0</v>
      </c>
      <c r="Q187" s="165" t="s">
        <v>208</v>
      </c>
      <c r="R187" s="165" t="s">
        <v>208</v>
      </c>
      <c r="S187" s="165" t="s">
        <v>208</v>
      </c>
      <c r="T187" s="165" t="s">
        <v>208</v>
      </c>
      <c r="U187" s="165" t="s">
        <v>208</v>
      </c>
      <c r="V187" s="165" t="s">
        <v>208</v>
      </c>
      <c r="W187" s="165" t="s">
        <v>208</v>
      </c>
      <c r="X187" s="165" t="s">
        <v>208</v>
      </c>
      <c r="Y187" s="165" t="s">
        <v>208</v>
      </c>
      <c r="Z187" s="165" t="s">
        <v>208</v>
      </c>
      <c r="AA187" s="165" t="s">
        <v>208</v>
      </c>
      <c r="AB187" s="165" t="s">
        <v>208</v>
      </c>
      <c r="AC187" s="165" t="s">
        <v>208</v>
      </c>
      <c r="AD187" s="165" t="s">
        <v>208</v>
      </c>
      <c r="AE187" s="165" t="s">
        <v>208</v>
      </c>
      <c r="AF187" s="165" t="s">
        <v>208</v>
      </c>
      <c r="AG187" s="165" t="s">
        <v>208</v>
      </c>
      <c r="AH187" s="165" t="s">
        <v>208</v>
      </c>
      <c r="AI187" s="165" t="s">
        <v>208</v>
      </c>
      <c r="AJ187" s="165" t="s">
        <v>208</v>
      </c>
      <c r="AK187" s="165" t="s">
        <v>208</v>
      </c>
      <c r="AL187" s="165" t="s">
        <v>208</v>
      </c>
      <c r="AM187" s="165" t="s">
        <v>208</v>
      </c>
      <c r="AN187" s="165" t="s">
        <v>208</v>
      </c>
      <c r="AO187" s="165" t="s">
        <v>208</v>
      </c>
      <c r="AP187" s="165" t="s">
        <v>208</v>
      </c>
      <c r="AQ187" s="165" t="s">
        <v>208</v>
      </c>
      <c r="AR187" s="165" t="s">
        <v>208</v>
      </c>
      <c r="AS187" s="165" t="s">
        <v>208</v>
      </c>
      <c r="AT187" s="165" t="s">
        <v>208</v>
      </c>
      <c r="AU187" s="165" t="s">
        <v>208</v>
      </c>
      <c r="AV187" s="165" t="s">
        <v>208</v>
      </c>
      <c r="AW187" s="165" t="s">
        <v>208</v>
      </c>
      <c r="AX187" s="165" t="s">
        <v>208</v>
      </c>
      <c r="AY187" s="165" t="s">
        <v>208</v>
      </c>
      <c r="AZ187" s="165" t="s">
        <v>208</v>
      </c>
      <c r="BA187" s="165" t="s">
        <v>208</v>
      </c>
      <c r="BB187" s="159" t="s">
        <v>208</v>
      </c>
      <c r="BC187" s="159" t="s">
        <v>208</v>
      </c>
      <c r="BD187" s="159" t="s">
        <v>208</v>
      </c>
      <c r="BE187" s="159" t="s">
        <v>208</v>
      </c>
      <c r="BF187" s="159" t="s">
        <v>208</v>
      </c>
      <c r="BG187" s="159" t="s">
        <v>208</v>
      </c>
      <c r="BH187" s="159" t="s">
        <v>208</v>
      </c>
      <c r="BI187" s="159" t="s">
        <v>208</v>
      </c>
      <c r="BJ187" s="159" t="s">
        <v>208</v>
      </c>
      <c r="BK187" s="159" t="s">
        <v>208</v>
      </c>
      <c r="BL187" s="159" t="s">
        <v>208</v>
      </c>
      <c r="BM187" s="159" t="s">
        <v>208</v>
      </c>
      <c r="BN187" s="159" t="s">
        <v>208</v>
      </c>
      <c r="BO187" s="159" t="s">
        <v>208</v>
      </c>
      <c r="BP187" s="159" t="s">
        <v>208</v>
      </c>
      <c r="BQ187" s="159" t="s">
        <v>208</v>
      </c>
      <c r="BR187" s="159" t="s">
        <v>208</v>
      </c>
      <c r="BS187" s="159" t="s">
        <v>208</v>
      </c>
      <c r="BT187" s="159" t="s">
        <v>208</v>
      </c>
      <c r="BU187" s="159" t="s">
        <v>208</v>
      </c>
      <c r="BV187" s="159" t="s">
        <v>208</v>
      </c>
      <c r="BW187" s="159" t="s">
        <v>208</v>
      </c>
      <c r="BX187" s="159" t="s">
        <v>208</v>
      </c>
      <c r="BY187" s="197"/>
      <c r="BZ187" s="197"/>
      <c r="CA187" s="197"/>
      <c r="CB187" s="197"/>
      <c r="CC187" s="197"/>
      <c r="CD187" s="197"/>
      <c r="CE187" s="197"/>
      <c r="CF187" s="197"/>
      <c r="CG187" s="197"/>
      <c r="CH187" s="197"/>
    </row>
    <row r="188" spans="2:86" ht="14.25">
      <c r="B188" s="165">
        <v>50</v>
      </c>
      <c r="C188" s="165">
        <v>50</v>
      </c>
      <c r="D188" s="165">
        <v>50</v>
      </c>
      <c r="E188" s="165">
        <v>50</v>
      </c>
      <c r="F188" s="165">
        <v>50</v>
      </c>
      <c r="G188" s="165">
        <v>50</v>
      </c>
      <c r="H188" s="165">
        <v>50</v>
      </c>
      <c r="I188" s="165">
        <v>50</v>
      </c>
      <c r="J188" s="165">
        <v>50</v>
      </c>
      <c r="K188" s="165">
        <v>50</v>
      </c>
      <c r="L188" s="165">
        <v>50</v>
      </c>
      <c r="M188" s="165">
        <v>50</v>
      </c>
      <c r="N188" s="165">
        <v>50</v>
      </c>
      <c r="O188" s="165">
        <v>50</v>
      </c>
      <c r="P188" s="165">
        <v>50</v>
      </c>
      <c r="Q188" s="165" t="s">
        <v>209</v>
      </c>
      <c r="R188" s="165" t="s">
        <v>209</v>
      </c>
      <c r="S188" s="165" t="s">
        <v>209</v>
      </c>
      <c r="T188" s="165" t="s">
        <v>209</v>
      </c>
      <c r="U188" s="165" t="s">
        <v>209</v>
      </c>
      <c r="V188" s="165" t="s">
        <v>209</v>
      </c>
      <c r="W188" s="165" t="s">
        <v>209</v>
      </c>
      <c r="X188" s="165" t="s">
        <v>209</v>
      </c>
      <c r="Y188" s="165" t="s">
        <v>209</v>
      </c>
      <c r="Z188" s="165" t="s">
        <v>209</v>
      </c>
      <c r="AA188" s="165" t="s">
        <v>209</v>
      </c>
      <c r="AB188" s="165" t="s">
        <v>209</v>
      </c>
      <c r="AC188" s="165" t="s">
        <v>209</v>
      </c>
      <c r="AD188" s="165" t="s">
        <v>209</v>
      </c>
      <c r="AE188" s="165" t="s">
        <v>209</v>
      </c>
      <c r="AF188" s="165" t="s">
        <v>209</v>
      </c>
      <c r="AG188" s="165" t="s">
        <v>209</v>
      </c>
      <c r="AH188" s="165" t="s">
        <v>209</v>
      </c>
      <c r="AI188" s="165" t="s">
        <v>209</v>
      </c>
      <c r="AJ188" s="165" t="s">
        <v>209</v>
      </c>
      <c r="AK188" s="165" t="s">
        <v>209</v>
      </c>
      <c r="AL188" s="165" t="s">
        <v>209</v>
      </c>
      <c r="AM188" s="165" t="s">
        <v>209</v>
      </c>
      <c r="AN188" s="165" t="s">
        <v>209</v>
      </c>
      <c r="AO188" s="165" t="s">
        <v>209</v>
      </c>
      <c r="AP188" s="165" t="s">
        <v>209</v>
      </c>
      <c r="AQ188" s="165" t="s">
        <v>209</v>
      </c>
      <c r="AR188" s="165" t="s">
        <v>209</v>
      </c>
      <c r="AS188" s="165" t="s">
        <v>209</v>
      </c>
      <c r="AT188" s="165" t="s">
        <v>209</v>
      </c>
      <c r="AU188" s="165" t="s">
        <v>209</v>
      </c>
      <c r="AV188" s="165" t="s">
        <v>209</v>
      </c>
      <c r="AW188" s="165" t="s">
        <v>209</v>
      </c>
      <c r="AX188" s="165" t="s">
        <v>209</v>
      </c>
      <c r="AY188" s="165" t="s">
        <v>209</v>
      </c>
      <c r="AZ188" s="165" t="s">
        <v>209</v>
      </c>
      <c r="BA188" s="165" t="s">
        <v>209</v>
      </c>
      <c r="BB188" s="159" t="s">
        <v>209</v>
      </c>
      <c r="BC188" s="159" t="s">
        <v>209</v>
      </c>
      <c r="BD188" s="159" t="s">
        <v>209</v>
      </c>
      <c r="BE188" s="159" t="s">
        <v>209</v>
      </c>
      <c r="BF188" s="159" t="s">
        <v>209</v>
      </c>
      <c r="BG188" s="159" t="s">
        <v>209</v>
      </c>
      <c r="BH188" s="159" t="s">
        <v>209</v>
      </c>
      <c r="BI188" s="159" t="s">
        <v>209</v>
      </c>
      <c r="BJ188" s="159" t="s">
        <v>209</v>
      </c>
      <c r="BK188" s="159" t="s">
        <v>209</v>
      </c>
      <c r="BL188" s="159" t="s">
        <v>209</v>
      </c>
      <c r="BM188" s="159" t="s">
        <v>209</v>
      </c>
      <c r="BN188" s="159" t="s">
        <v>209</v>
      </c>
      <c r="BO188" s="159" t="s">
        <v>209</v>
      </c>
      <c r="BP188" s="159" t="s">
        <v>209</v>
      </c>
      <c r="BQ188" s="159" t="s">
        <v>209</v>
      </c>
      <c r="BR188" s="159" t="s">
        <v>209</v>
      </c>
      <c r="BS188" s="159" t="s">
        <v>209</v>
      </c>
      <c r="BT188" s="159" t="s">
        <v>209</v>
      </c>
      <c r="BU188" s="159" t="s">
        <v>209</v>
      </c>
      <c r="BV188" s="159" t="s">
        <v>209</v>
      </c>
      <c r="BW188" s="159" t="s">
        <v>209</v>
      </c>
      <c r="BX188" s="159" t="s">
        <v>209</v>
      </c>
      <c r="BY188" s="197"/>
      <c r="BZ188" s="197"/>
      <c r="CA188" s="197"/>
      <c r="CB188" s="197"/>
      <c r="CC188" s="197"/>
      <c r="CD188" s="197"/>
      <c r="CE188" s="197"/>
      <c r="CF188" s="197"/>
      <c r="CG188" s="197"/>
      <c r="CH188" s="197"/>
    </row>
    <row r="189" spans="2:86" ht="14.25">
      <c r="B189" s="94"/>
      <c r="C189" s="94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1"/>
      <c r="AS189" s="171"/>
      <c r="AT189" s="171"/>
      <c r="AU189" s="171"/>
      <c r="AV189" s="171"/>
      <c r="AW189" s="171"/>
      <c r="AX189" s="171"/>
      <c r="AY189" s="171"/>
      <c r="AZ189" s="171"/>
      <c r="BA189" s="171"/>
      <c r="BB189" s="171"/>
      <c r="BC189" s="171"/>
      <c r="BD189" s="171"/>
      <c r="BE189" s="171"/>
      <c r="BF189" s="171"/>
      <c r="BG189" s="171"/>
      <c r="BH189" s="171"/>
      <c r="BI189" s="171"/>
      <c r="BJ189" s="171"/>
      <c r="BK189" s="171"/>
      <c r="BL189" s="171"/>
      <c r="BM189" s="171"/>
      <c r="BN189" s="171"/>
      <c r="BO189" s="171"/>
      <c r="BP189" s="171"/>
      <c r="BQ189" s="171"/>
      <c r="BR189" s="171"/>
      <c r="BS189" s="171"/>
      <c r="BT189" s="171"/>
      <c r="BU189" s="171"/>
      <c r="BV189" s="171"/>
      <c r="BW189" s="171"/>
      <c r="BX189" s="171"/>
      <c r="BY189" s="171"/>
      <c r="BZ189" s="171"/>
      <c r="CA189" s="171"/>
      <c r="CB189" s="171"/>
      <c r="CC189" s="171"/>
      <c r="CD189" s="171"/>
      <c r="CE189" s="171"/>
      <c r="CF189" s="171"/>
      <c r="CG189" s="171"/>
      <c r="CH189" s="171"/>
    </row>
    <row r="190" spans="1:86" ht="14.25">
      <c r="A190" s="174" t="s">
        <v>284</v>
      </c>
      <c r="B190" s="168" t="s">
        <v>285</v>
      </c>
      <c r="C190" s="168" t="s">
        <v>285</v>
      </c>
      <c r="D190" s="168" t="s">
        <v>285</v>
      </c>
      <c r="E190" s="168" t="s">
        <v>285</v>
      </c>
      <c r="F190" s="168" t="s">
        <v>285</v>
      </c>
      <c r="G190" s="168" t="s">
        <v>285</v>
      </c>
      <c r="H190" s="168" t="s">
        <v>285</v>
      </c>
      <c r="I190" s="168" t="s">
        <v>285</v>
      </c>
      <c r="J190" s="168" t="s">
        <v>285</v>
      </c>
      <c r="K190" s="168" t="s">
        <v>285</v>
      </c>
      <c r="L190" s="168" t="s">
        <v>285</v>
      </c>
      <c r="M190" s="168" t="s">
        <v>285</v>
      </c>
      <c r="N190" s="168" t="s">
        <v>285</v>
      </c>
      <c r="O190" s="168" t="s">
        <v>285</v>
      </c>
      <c r="P190" s="168" t="s">
        <v>285</v>
      </c>
      <c r="Q190" s="168" t="s">
        <v>285</v>
      </c>
      <c r="R190" s="168" t="s">
        <v>285</v>
      </c>
      <c r="S190" s="168" t="s">
        <v>285</v>
      </c>
      <c r="T190" s="168" t="s">
        <v>285</v>
      </c>
      <c r="U190" s="168" t="s">
        <v>285</v>
      </c>
      <c r="V190" s="168" t="s">
        <v>285</v>
      </c>
      <c r="W190" s="168" t="s">
        <v>285</v>
      </c>
      <c r="X190" s="168" t="s">
        <v>285</v>
      </c>
      <c r="Y190" s="168" t="s">
        <v>285</v>
      </c>
      <c r="Z190" s="168" t="s">
        <v>285</v>
      </c>
      <c r="AA190" s="170" t="s">
        <v>285</v>
      </c>
      <c r="AB190" s="170" t="s">
        <v>285</v>
      </c>
      <c r="AC190" s="168" t="s">
        <v>286</v>
      </c>
      <c r="AD190" s="168" t="s">
        <v>286</v>
      </c>
      <c r="AE190" s="168" t="s">
        <v>286</v>
      </c>
      <c r="AF190" s="168" t="s">
        <v>286</v>
      </c>
      <c r="AG190" s="168" t="s">
        <v>286</v>
      </c>
      <c r="AH190" s="168" t="s">
        <v>286</v>
      </c>
      <c r="AI190" s="168" t="s">
        <v>286</v>
      </c>
      <c r="AJ190" s="168" t="s">
        <v>286</v>
      </c>
      <c r="AK190" s="168" t="s">
        <v>286</v>
      </c>
      <c r="AL190" s="168" t="s">
        <v>286</v>
      </c>
      <c r="AM190" s="168" t="s">
        <v>286</v>
      </c>
      <c r="AN190" s="168" t="s">
        <v>286</v>
      </c>
      <c r="AO190" s="168" t="s">
        <v>286</v>
      </c>
      <c r="AP190" s="168" t="s">
        <v>286</v>
      </c>
      <c r="AQ190" s="168" t="s">
        <v>286</v>
      </c>
      <c r="AR190" s="168" t="s">
        <v>286</v>
      </c>
      <c r="AS190" s="168" t="s">
        <v>286</v>
      </c>
      <c r="AT190" s="168" t="s">
        <v>286</v>
      </c>
      <c r="AU190" s="168" t="s">
        <v>286</v>
      </c>
      <c r="AV190" s="168" t="s">
        <v>286</v>
      </c>
      <c r="AW190" s="168" t="s">
        <v>286</v>
      </c>
      <c r="AX190" s="168" t="s">
        <v>286</v>
      </c>
      <c r="AY190" s="168" t="s">
        <v>286</v>
      </c>
      <c r="AZ190" s="168" t="s">
        <v>286</v>
      </c>
      <c r="BA190" s="168" t="s">
        <v>286</v>
      </c>
      <c r="BB190" s="168" t="s">
        <v>286</v>
      </c>
      <c r="BC190" s="168" t="s">
        <v>286</v>
      </c>
      <c r="BD190" s="168" t="s">
        <v>286</v>
      </c>
      <c r="BE190" s="168" t="s">
        <v>286</v>
      </c>
      <c r="BF190" s="168" t="s">
        <v>286</v>
      </c>
      <c r="BG190" s="168" t="s">
        <v>286</v>
      </c>
      <c r="BH190" s="168" t="s">
        <v>286</v>
      </c>
      <c r="BI190" s="168" t="s">
        <v>286</v>
      </c>
      <c r="BJ190" s="168" t="s">
        <v>286</v>
      </c>
      <c r="BK190" s="168" t="s">
        <v>286</v>
      </c>
      <c r="BL190" s="168" t="s">
        <v>286</v>
      </c>
      <c r="BM190" s="168" t="s">
        <v>286</v>
      </c>
      <c r="BN190" s="168" t="s">
        <v>286</v>
      </c>
      <c r="BO190" s="168" t="s">
        <v>286</v>
      </c>
      <c r="BP190" s="168" t="s">
        <v>286</v>
      </c>
      <c r="BQ190" s="168" t="s">
        <v>286</v>
      </c>
      <c r="BR190" s="168" t="s">
        <v>286</v>
      </c>
      <c r="BS190" s="168" t="s">
        <v>286</v>
      </c>
      <c r="BT190" s="168" t="s">
        <v>286</v>
      </c>
      <c r="BU190" s="168" t="s">
        <v>286</v>
      </c>
      <c r="BV190" s="168" t="s">
        <v>286</v>
      </c>
      <c r="BW190" s="168" t="s">
        <v>286</v>
      </c>
      <c r="BX190" s="168" t="s">
        <v>286</v>
      </c>
      <c r="BY190" s="171"/>
      <c r="BZ190" s="171"/>
      <c r="CA190" s="171"/>
      <c r="CB190" s="171"/>
      <c r="CC190" s="171"/>
      <c r="CD190" s="171"/>
      <c r="CE190" s="171"/>
      <c r="CF190" s="171"/>
      <c r="CG190" s="171"/>
      <c r="CH190" s="171"/>
    </row>
    <row r="191" spans="1:86" ht="14.25">
      <c r="A191" s="140"/>
      <c r="B191" s="169" t="s">
        <v>286</v>
      </c>
      <c r="C191" s="169" t="s">
        <v>286</v>
      </c>
      <c r="D191" s="169" t="s">
        <v>286</v>
      </c>
      <c r="E191" s="169" t="s">
        <v>286</v>
      </c>
      <c r="F191" s="169" t="s">
        <v>286</v>
      </c>
      <c r="G191" s="169" t="s">
        <v>286</v>
      </c>
      <c r="H191" s="169" t="s">
        <v>286</v>
      </c>
      <c r="I191" s="169" t="s">
        <v>286</v>
      </c>
      <c r="J191" s="169" t="s">
        <v>286</v>
      </c>
      <c r="K191" s="169" t="s">
        <v>286</v>
      </c>
      <c r="L191" s="169" t="s">
        <v>286</v>
      </c>
      <c r="M191" s="169" t="s">
        <v>286</v>
      </c>
      <c r="N191" s="169" t="s">
        <v>286</v>
      </c>
      <c r="O191" s="169" t="s">
        <v>286</v>
      </c>
      <c r="P191" s="169" t="s">
        <v>286</v>
      </c>
      <c r="Q191" s="169" t="s">
        <v>286</v>
      </c>
      <c r="R191" s="169" t="s">
        <v>286</v>
      </c>
      <c r="S191" s="169" t="s">
        <v>286</v>
      </c>
      <c r="T191" s="169" t="s">
        <v>286</v>
      </c>
      <c r="U191" s="169" t="s">
        <v>286</v>
      </c>
      <c r="V191" s="169" t="s">
        <v>286</v>
      </c>
      <c r="W191" s="169" t="s">
        <v>286</v>
      </c>
      <c r="X191" s="169" t="s">
        <v>286</v>
      </c>
      <c r="Y191" s="169" t="s">
        <v>286</v>
      </c>
      <c r="Z191" s="169" t="s">
        <v>286</v>
      </c>
      <c r="AA191" s="173" t="s">
        <v>286</v>
      </c>
      <c r="AB191" s="173" t="s">
        <v>286</v>
      </c>
      <c r="AC191" s="145" t="s">
        <v>1073</v>
      </c>
      <c r="AD191" s="145" t="s">
        <v>1073</v>
      </c>
      <c r="AE191" s="145" t="s">
        <v>1073</v>
      </c>
      <c r="AF191" s="145" t="s">
        <v>1073</v>
      </c>
      <c r="AG191" s="145" t="s">
        <v>1073</v>
      </c>
      <c r="AH191" s="145" t="s">
        <v>1073</v>
      </c>
      <c r="AI191" s="145" t="s">
        <v>1073</v>
      </c>
      <c r="AJ191" s="145" t="s">
        <v>1073</v>
      </c>
      <c r="AK191" s="145" t="s">
        <v>1073</v>
      </c>
      <c r="AL191" s="145" t="s">
        <v>1073</v>
      </c>
      <c r="AM191" s="145" t="s">
        <v>1073</v>
      </c>
      <c r="AN191" s="145" t="s">
        <v>1073</v>
      </c>
      <c r="AO191" s="145" t="s">
        <v>1073</v>
      </c>
      <c r="AP191" s="145" t="s">
        <v>1073</v>
      </c>
      <c r="AQ191" s="145" t="s">
        <v>1073</v>
      </c>
      <c r="AR191" s="145" t="s">
        <v>1073</v>
      </c>
      <c r="AS191" s="145" t="s">
        <v>1073</v>
      </c>
      <c r="AT191" s="145" t="s">
        <v>1073</v>
      </c>
      <c r="AU191" s="145" t="s">
        <v>1073</v>
      </c>
      <c r="AV191" s="145" t="s">
        <v>1073</v>
      </c>
      <c r="AW191" s="145" t="s">
        <v>1073</v>
      </c>
      <c r="AX191" s="145" t="s">
        <v>1073</v>
      </c>
      <c r="AY191" s="145" t="s">
        <v>1073</v>
      </c>
      <c r="AZ191" s="145" t="s">
        <v>1073</v>
      </c>
      <c r="BA191" s="145" t="s">
        <v>1073</v>
      </c>
      <c r="BB191" s="145" t="s">
        <v>1073</v>
      </c>
      <c r="BC191" s="145" t="s">
        <v>1073</v>
      </c>
      <c r="BD191" s="145" t="s">
        <v>1073</v>
      </c>
      <c r="BE191" s="145" t="s">
        <v>1073</v>
      </c>
      <c r="BF191" s="145" t="s">
        <v>1073</v>
      </c>
      <c r="BG191" s="145" t="s">
        <v>1073</v>
      </c>
      <c r="BH191" s="145" t="s">
        <v>1073</v>
      </c>
      <c r="BI191" s="145" t="s">
        <v>1073</v>
      </c>
      <c r="BJ191" s="145" t="s">
        <v>1073</v>
      </c>
      <c r="BK191" s="145" t="s">
        <v>1073</v>
      </c>
      <c r="BL191" s="145" t="s">
        <v>1073</v>
      </c>
      <c r="BM191" s="145" t="s">
        <v>1073</v>
      </c>
      <c r="BN191" s="145" t="s">
        <v>1073</v>
      </c>
      <c r="BO191" s="145" t="s">
        <v>1073</v>
      </c>
      <c r="BP191" s="145" t="s">
        <v>1073</v>
      </c>
      <c r="BQ191" s="145" t="s">
        <v>1073</v>
      </c>
      <c r="BR191" s="145" t="s">
        <v>1073</v>
      </c>
      <c r="BS191" s="145" t="s">
        <v>1073</v>
      </c>
      <c r="BT191" s="145" t="s">
        <v>1073</v>
      </c>
      <c r="BU191" s="145" t="s">
        <v>1073</v>
      </c>
      <c r="BV191" s="145" t="s">
        <v>1073</v>
      </c>
      <c r="BW191" s="145" t="s">
        <v>1073</v>
      </c>
      <c r="BX191" s="145" t="s">
        <v>1073</v>
      </c>
      <c r="BY191" s="277"/>
      <c r="BZ191" s="277"/>
      <c r="CA191" s="277"/>
      <c r="CB191" s="277"/>
      <c r="CC191" s="277"/>
      <c r="CD191" s="277"/>
      <c r="CE191" s="277"/>
      <c r="CF191" s="277"/>
      <c r="CG191" s="277"/>
      <c r="CH191" s="277"/>
    </row>
    <row r="192" spans="1:86" ht="14.25">
      <c r="A192" s="140"/>
      <c r="B192" s="141">
        <v>1</v>
      </c>
      <c r="C192" s="141">
        <v>1</v>
      </c>
      <c r="D192" s="141">
        <v>1</v>
      </c>
      <c r="E192" s="141">
        <v>1</v>
      </c>
      <c r="F192" s="141">
        <v>1</v>
      </c>
      <c r="G192" s="141">
        <v>1</v>
      </c>
      <c r="H192" s="141">
        <v>1</v>
      </c>
      <c r="I192" s="141">
        <v>1</v>
      </c>
      <c r="J192" s="141">
        <v>1</v>
      </c>
      <c r="K192" s="141">
        <v>1</v>
      </c>
      <c r="L192" s="141">
        <v>1</v>
      </c>
      <c r="M192" s="141">
        <v>1</v>
      </c>
      <c r="N192" s="141">
        <v>1</v>
      </c>
      <c r="O192" s="141">
        <v>1</v>
      </c>
      <c r="P192" s="141">
        <v>1</v>
      </c>
      <c r="Q192" s="141">
        <v>1</v>
      </c>
      <c r="R192" s="141">
        <v>1</v>
      </c>
      <c r="S192" s="141">
        <v>1</v>
      </c>
      <c r="T192" s="141">
        <v>1</v>
      </c>
      <c r="U192" s="141">
        <v>1</v>
      </c>
      <c r="V192" s="141">
        <v>1</v>
      </c>
      <c r="W192" s="141">
        <v>1</v>
      </c>
      <c r="X192" s="141">
        <v>1</v>
      </c>
      <c r="Y192" s="141">
        <v>1</v>
      </c>
      <c r="Z192" s="141">
        <v>1</v>
      </c>
      <c r="AA192" s="141">
        <v>1</v>
      </c>
      <c r="AB192" s="141">
        <v>1</v>
      </c>
      <c r="AC192" s="141">
        <v>2</v>
      </c>
      <c r="AD192" s="141">
        <v>2</v>
      </c>
      <c r="AE192" s="141">
        <v>2</v>
      </c>
      <c r="AF192" s="141">
        <v>2</v>
      </c>
      <c r="AG192" s="141">
        <v>2</v>
      </c>
      <c r="AH192" s="141">
        <v>2</v>
      </c>
      <c r="AI192" s="141">
        <v>2</v>
      </c>
      <c r="AJ192" s="141">
        <v>2</v>
      </c>
      <c r="AK192" s="141">
        <v>2</v>
      </c>
      <c r="AL192" s="141">
        <v>2</v>
      </c>
      <c r="AM192" s="141">
        <v>2</v>
      </c>
      <c r="AN192" s="141">
        <v>2</v>
      </c>
      <c r="AO192" s="141">
        <v>2</v>
      </c>
      <c r="AP192" s="141">
        <v>2</v>
      </c>
      <c r="AQ192" s="141">
        <v>2</v>
      </c>
      <c r="AR192" s="141">
        <v>2</v>
      </c>
      <c r="AS192" s="141">
        <v>2</v>
      </c>
      <c r="AT192" s="141">
        <v>2</v>
      </c>
      <c r="AU192" s="141">
        <v>2</v>
      </c>
      <c r="AV192" s="141">
        <v>2</v>
      </c>
      <c r="AW192" s="141">
        <v>2</v>
      </c>
      <c r="AX192" s="141">
        <v>2</v>
      </c>
      <c r="AY192" s="141">
        <v>2</v>
      </c>
      <c r="AZ192" s="141">
        <v>2</v>
      </c>
      <c r="BA192" s="141">
        <v>2</v>
      </c>
      <c r="BB192" s="141">
        <v>2</v>
      </c>
      <c r="BC192" s="141">
        <v>2</v>
      </c>
      <c r="BD192" s="141">
        <v>2</v>
      </c>
      <c r="BE192" s="141">
        <v>2</v>
      </c>
      <c r="BF192" s="141">
        <v>2</v>
      </c>
      <c r="BG192" s="141">
        <v>2</v>
      </c>
      <c r="BH192" s="141">
        <v>2</v>
      </c>
      <c r="BI192" s="141">
        <v>2</v>
      </c>
      <c r="BJ192" s="141">
        <v>2</v>
      </c>
      <c r="BK192" s="141">
        <v>2</v>
      </c>
      <c r="BL192" s="141">
        <v>2</v>
      </c>
      <c r="BM192" s="141">
        <v>2</v>
      </c>
      <c r="BN192" s="141">
        <v>2</v>
      </c>
      <c r="BO192" s="141">
        <v>2</v>
      </c>
      <c r="BP192" s="141">
        <v>2</v>
      </c>
      <c r="BQ192" s="141">
        <v>2</v>
      </c>
      <c r="BR192" s="141">
        <v>2</v>
      </c>
      <c r="BS192" s="141">
        <v>2</v>
      </c>
      <c r="BT192" s="141">
        <v>2</v>
      </c>
      <c r="BU192" s="141">
        <v>2</v>
      </c>
      <c r="BV192" s="141">
        <v>2</v>
      </c>
      <c r="BW192" s="141">
        <v>2</v>
      </c>
      <c r="BX192" s="141">
        <v>2</v>
      </c>
      <c r="BY192" s="197"/>
      <c r="BZ192" s="197"/>
      <c r="CA192" s="197"/>
      <c r="CB192" s="197"/>
      <c r="CC192" s="197"/>
      <c r="CD192" s="197"/>
      <c r="CE192" s="197"/>
      <c r="CF192" s="197"/>
      <c r="CG192" s="197"/>
      <c r="CH192" s="197"/>
    </row>
    <row r="193" spans="1:86" ht="14.25">
      <c r="A193" s="151"/>
      <c r="B193" s="143">
        <v>3</v>
      </c>
      <c r="C193" s="143">
        <v>3</v>
      </c>
      <c r="D193" s="143">
        <v>3</v>
      </c>
      <c r="E193" s="143">
        <v>3</v>
      </c>
      <c r="F193" s="143">
        <v>3</v>
      </c>
      <c r="G193" s="143">
        <v>3</v>
      </c>
      <c r="H193" s="143">
        <v>3</v>
      </c>
      <c r="I193" s="143">
        <v>3</v>
      </c>
      <c r="J193" s="143">
        <v>3</v>
      </c>
      <c r="K193" s="143">
        <v>3</v>
      </c>
      <c r="L193" s="143">
        <v>3</v>
      </c>
      <c r="M193" s="143">
        <v>3</v>
      </c>
      <c r="N193" s="143">
        <v>3</v>
      </c>
      <c r="O193" s="143">
        <v>3</v>
      </c>
      <c r="P193" s="143">
        <v>3</v>
      </c>
      <c r="Q193" s="143">
        <v>3</v>
      </c>
      <c r="R193" s="143">
        <v>3</v>
      </c>
      <c r="S193" s="143">
        <v>3</v>
      </c>
      <c r="T193" s="143">
        <v>3</v>
      </c>
      <c r="U193" s="143">
        <v>3</v>
      </c>
      <c r="V193" s="143">
        <v>3</v>
      </c>
      <c r="W193" s="143">
        <v>3</v>
      </c>
      <c r="X193" s="143">
        <v>3</v>
      </c>
      <c r="Y193" s="143">
        <v>3</v>
      </c>
      <c r="Z193" s="143">
        <v>3</v>
      </c>
      <c r="AA193" s="143">
        <v>2</v>
      </c>
      <c r="AB193" s="143">
        <v>2</v>
      </c>
      <c r="AC193" s="143">
        <v>2</v>
      </c>
      <c r="AD193" s="143">
        <v>2</v>
      </c>
      <c r="AE193" s="143">
        <v>2</v>
      </c>
      <c r="AF193" s="143">
        <v>2</v>
      </c>
      <c r="AG193" s="143">
        <v>2</v>
      </c>
      <c r="AH193" s="143">
        <v>2</v>
      </c>
      <c r="AI193" s="143">
        <v>2</v>
      </c>
      <c r="AJ193" s="143">
        <v>2</v>
      </c>
      <c r="AK193" s="143">
        <v>2</v>
      </c>
      <c r="AL193" s="143">
        <v>2</v>
      </c>
      <c r="AM193" s="143">
        <v>2</v>
      </c>
      <c r="AN193" s="143">
        <v>2</v>
      </c>
      <c r="AO193" s="143">
        <v>2</v>
      </c>
      <c r="AP193" s="143">
        <v>2</v>
      </c>
      <c r="AQ193" s="143">
        <v>2</v>
      </c>
      <c r="AR193" s="143">
        <v>2</v>
      </c>
      <c r="AS193" s="143">
        <v>2</v>
      </c>
      <c r="AT193" s="143">
        <v>2</v>
      </c>
      <c r="AU193" s="143">
        <v>2</v>
      </c>
      <c r="AV193" s="143">
        <v>2</v>
      </c>
      <c r="AW193" s="143">
        <v>2</v>
      </c>
      <c r="AX193" s="143">
        <v>2</v>
      </c>
      <c r="AY193" s="143">
        <v>2</v>
      </c>
      <c r="AZ193" s="143">
        <v>2</v>
      </c>
      <c r="BA193" s="143">
        <v>2</v>
      </c>
      <c r="BB193" s="143">
        <v>2</v>
      </c>
      <c r="BC193" s="143">
        <v>2</v>
      </c>
      <c r="BD193" s="143">
        <v>2</v>
      </c>
      <c r="BE193" s="143">
        <v>2</v>
      </c>
      <c r="BF193" s="143">
        <v>2</v>
      </c>
      <c r="BG193" s="143">
        <v>2</v>
      </c>
      <c r="BH193" s="143">
        <v>2</v>
      </c>
      <c r="BI193" s="143">
        <v>2</v>
      </c>
      <c r="BJ193" s="143">
        <v>2</v>
      </c>
      <c r="BK193" s="143">
        <v>2</v>
      </c>
      <c r="BL193" s="143">
        <v>2</v>
      </c>
      <c r="BM193" s="143">
        <v>2</v>
      </c>
      <c r="BN193" s="143">
        <v>2</v>
      </c>
      <c r="BO193" s="143">
        <v>2</v>
      </c>
      <c r="BP193" s="143">
        <v>2</v>
      </c>
      <c r="BQ193" s="143">
        <v>2</v>
      </c>
      <c r="BR193" s="143">
        <v>2</v>
      </c>
      <c r="BS193" s="143">
        <v>2</v>
      </c>
      <c r="BT193" s="143">
        <v>2</v>
      </c>
      <c r="BU193" s="143">
        <v>2</v>
      </c>
      <c r="BV193" s="143">
        <v>2</v>
      </c>
      <c r="BW193" s="143">
        <v>2</v>
      </c>
      <c r="BX193" s="143">
        <v>2</v>
      </c>
      <c r="BY193" s="197"/>
      <c r="BZ193" s="197"/>
      <c r="CA193" s="197"/>
      <c r="CB193" s="197"/>
      <c r="CC193" s="197"/>
      <c r="CD193" s="197"/>
      <c r="CE193" s="197"/>
      <c r="CF193" s="197"/>
      <c r="CG193" s="197"/>
      <c r="CH193" s="197"/>
    </row>
    <row r="194" spans="1:86" ht="14.25">
      <c r="A194" s="94" t="s">
        <v>287</v>
      </c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81"/>
      <c r="T194" s="174"/>
      <c r="U194" s="174"/>
      <c r="V194" s="174"/>
      <c r="W194" s="174"/>
      <c r="X194" s="181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74"/>
      <c r="AS194" s="174"/>
      <c r="AT194" s="174"/>
      <c r="AU194" s="174"/>
      <c r="AV194" s="174"/>
      <c r="AW194" s="174"/>
      <c r="AX194" s="174"/>
      <c r="AY194" s="174"/>
      <c r="AZ194" s="174"/>
      <c r="BA194" s="174"/>
      <c r="BB194" s="174"/>
      <c r="BC194" s="174"/>
      <c r="BD194" s="174"/>
      <c r="BE194" s="174"/>
      <c r="BF194" s="174"/>
      <c r="BG194" s="174"/>
      <c r="BH194" s="174"/>
      <c r="BI194" s="174"/>
      <c r="BJ194" s="174"/>
      <c r="BK194" s="174"/>
      <c r="BL194" s="174"/>
      <c r="BM194" s="174"/>
      <c r="BN194" s="174"/>
      <c r="BO194" s="174"/>
      <c r="BP194" s="174"/>
      <c r="BQ194" s="174"/>
      <c r="BR194" s="174"/>
      <c r="BS194" s="174"/>
      <c r="BT194" s="174"/>
      <c r="BU194" s="174"/>
      <c r="BV194" s="174"/>
      <c r="BW194" s="174"/>
      <c r="BX194" s="17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</row>
    <row r="195" spans="1:86" ht="14.25">
      <c r="A195" s="166"/>
      <c r="B195" s="134" t="s">
        <v>230</v>
      </c>
      <c r="C195" s="134" t="s">
        <v>230</v>
      </c>
      <c r="D195" s="134" t="s">
        <v>230</v>
      </c>
      <c r="E195" s="134" t="s">
        <v>230</v>
      </c>
      <c r="F195" s="134" t="s">
        <v>230</v>
      </c>
      <c r="G195" s="134" t="s">
        <v>230</v>
      </c>
      <c r="H195" s="134" t="s">
        <v>230</v>
      </c>
      <c r="I195" s="134" t="s">
        <v>230</v>
      </c>
      <c r="J195" s="134" t="s">
        <v>230</v>
      </c>
      <c r="K195" s="134" t="s">
        <v>230</v>
      </c>
      <c r="L195" s="134" t="s">
        <v>230</v>
      </c>
      <c r="M195" s="134" t="s">
        <v>230</v>
      </c>
      <c r="N195" s="134" t="s">
        <v>230</v>
      </c>
      <c r="O195" s="134" t="s">
        <v>230</v>
      </c>
      <c r="P195" s="134" t="s">
        <v>230</v>
      </c>
      <c r="Q195" s="134" t="s">
        <v>230</v>
      </c>
      <c r="R195" s="134" t="s">
        <v>230</v>
      </c>
      <c r="S195" s="134" t="s">
        <v>230</v>
      </c>
      <c r="T195" s="134" t="s">
        <v>230</v>
      </c>
      <c r="U195" s="134" t="s">
        <v>230</v>
      </c>
      <c r="V195" s="134" t="s">
        <v>230</v>
      </c>
      <c r="W195" s="134" t="s">
        <v>230</v>
      </c>
      <c r="X195" s="134" t="s">
        <v>230</v>
      </c>
      <c r="Y195" s="134" t="s">
        <v>230</v>
      </c>
      <c r="Z195" s="134" t="s">
        <v>230</v>
      </c>
      <c r="AA195" s="138" t="str">
        <f>IF(Configurator!$P$6=1,'Date Drivers HIST'!$Z$195,$AN$195)</f>
        <v>E9650212</v>
      </c>
      <c r="AB195" s="138" t="str">
        <f>IF(Configurator!$P$6=1,'Date Drivers HIST'!$Z$195,$AN$195)</f>
        <v>E9650212</v>
      </c>
      <c r="AC195" s="134" t="s">
        <v>230</v>
      </c>
      <c r="AD195" s="134" t="s">
        <v>230</v>
      </c>
      <c r="AE195" s="134" t="s">
        <v>230</v>
      </c>
      <c r="AF195" s="134" t="s">
        <v>230</v>
      </c>
      <c r="AG195" s="134" t="s">
        <v>230</v>
      </c>
      <c r="AH195" s="134" t="s">
        <v>230</v>
      </c>
      <c r="AI195" s="134" t="s">
        <v>230</v>
      </c>
      <c r="AJ195" s="134" t="s">
        <v>230</v>
      </c>
      <c r="AK195" s="134" t="s">
        <v>230</v>
      </c>
      <c r="AL195" s="134" t="s">
        <v>230</v>
      </c>
      <c r="AM195" s="134" t="s">
        <v>230</v>
      </c>
      <c r="AN195" s="134" t="s">
        <v>230</v>
      </c>
      <c r="AO195" s="134" t="s">
        <v>230</v>
      </c>
      <c r="AP195" s="134" t="s">
        <v>230</v>
      </c>
      <c r="AQ195" s="134" t="s">
        <v>230</v>
      </c>
      <c r="AR195" s="134" t="s">
        <v>230</v>
      </c>
      <c r="AS195" s="134" t="s">
        <v>230</v>
      </c>
      <c r="AT195" s="134" t="s">
        <v>230</v>
      </c>
      <c r="AU195" s="134" t="s">
        <v>230</v>
      </c>
      <c r="AV195" s="134" t="s">
        <v>230</v>
      </c>
      <c r="AW195" s="134" t="s">
        <v>230</v>
      </c>
      <c r="AX195" s="134" t="s">
        <v>230</v>
      </c>
      <c r="AY195" s="134" t="s">
        <v>230</v>
      </c>
      <c r="AZ195" s="134" t="s">
        <v>230</v>
      </c>
      <c r="BA195" s="134" t="s">
        <v>230</v>
      </c>
      <c r="BB195" s="134" t="s">
        <v>230</v>
      </c>
      <c r="BC195" s="134" t="s">
        <v>230</v>
      </c>
      <c r="BD195" s="134" t="s">
        <v>230</v>
      </c>
      <c r="BE195" s="134" t="s">
        <v>230</v>
      </c>
      <c r="BF195" s="134" t="s">
        <v>230</v>
      </c>
      <c r="BG195" s="134" t="s">
        <v>230</v>
      </c>
      <c r="BH195" s="134" t="s">
        <v>230</v>
      </c>
      <c r="BI195" s="134" t="s">
        <v>230</v>
      </c>
      <c r="BJ195" s="134" t="s">
        <v>230</v>
      </c>
      <c r="BK195" s="134" t="s">
        <v>230</v>
      </c>
      <c r="BL195" s="134" t="s">
        <v>230</v>
      </c>
      <c r="BM195" s="134" t="s">
        <v>230</v>
      </c>
      <c r="BN195" s="134" t="s">
        <v>230</v>
      </c>
      <c r="BO195" s="134" t="s">
        <v>230</v>
      </c>
      <c r="BP195" s="134" t="s">
        <v>230</v>
      </c>
      <c r="BQ195" s="134" t="s">
        <v>230</v>
      </c>
      <c r="BR195" s="134" t="s">
        <v>230</v>
      </c>
      <c r="BS195" s="134" t="s">
        <v>230</v>
      </c>
      <c r="BT195" s="134" t="s">
        <v>230</v>
      </c>
      <c r="BU195" s="134" t="s">
        <v>230</v>
      </c>
      <c r="BV195" s="134" t="s">
        <v>230</v>
      </c>
      <c r="BW195" s="134" t="s">
        <v>230</v>
      </c>
      <c r="BX195" s="134" t="s">
        <v>230</v>
      </c>
      <c r="BY195" s="197"/>
      <c r="BZ195" s="197"/>
      <c r="CA195" s="197"/>
      <c r="CB195" s="197"/>
      <c r="CC195" s="197"/>
      <c r="CD195" s="197"/>
      <c r="CE195" s="197"/>
      <c r="CF195" s="197"/>
      <c r="CG195" s="197"/>
      <c r="CH195" s="197"/>
    </row>
    <row r="196" spans="1:86" ht="14.25">
      <c r="A196" s="166"/>
      <c r="B196" s="134" t="s">
        <v>231</v>
      </c>
      <c r="C196" s="134" t="s">
        <v>231</v>
      </c>
      <c r="D196" s="134" t="s">
        <v>231</v>
      </c>
      <c r="E196" s="134" t="s">
        <v>231</v>
      </c>
      <c r="F196" s="134" t="s">
        <v>231</v>
      </c>
      <c r="G196" s="134" t="s">
        <v>231</v>
      </c>
      <c r="H196" s="134" t="s">
        <v>231</v>
      </c>
      <c r="I196" s="134" t="s">
        <v>231</v>
      </c>
      <c r="J196" s="134" t="s">
        <v>231</v>
      </c>
      <c r="K196" s="134" t="s">
        <v>231</v>
      </c>
      <c r="L196" s="134" t="s">
        <v>231</v>
      </c>
      <c r="M196" s="134" t="s">
        <v>231</v>
      </c>
      <c r="N196" s="134" t="s">
        <v>231</v>
      </c>
      <c r="O196" s="134" t="s">
        <v>231</v>
      </c>
      <c r="P196" s="134" t="s">
        <v>231</v>
      </c>
      <c r="Q196" s="134" t="s">
        <v>231</v>
      </c>
      <c r="R196" s="134" t="s">
        <v>231</v>
      </c>
      <c r="S196" s="134" t="s">
        <v>231</v>
      </c>
      <c r="T196" s="134" t="s">
        <v>231</v>
      </c>
      <c r="U196" s="134" t="s">
        <v>231</v>
      </c>
      <c r="V196" s="134" t="s">
        <v>231</v>
      </c>
      <c r="W196" s="134" t="s">
        <v>231</v>
      </c>
      <c r="X196" s="134" t="s">
        <v>231</v>
      </c>
      <c r="Y196" s="134" t="s">
        <v>231</v>
      </c>
      <c r="Z196" s="134" t="s">
        <v>231</v>
      </c>
      <c r="AA196" s="138" t="str">
        <f>IF(Configurator!$P$6=1,'Date Drivers HIST'!$Z$196,$AN$196)</f>
        <v>E9650299</v>
      </c>
      <c r="AB196" s="138" t="str">
        <f>IF(Configurator!$P$6=1,'Date Drivers HIST'!$Z$196,$AN$196)</f>
        <v>E9650299</v>
      </c>
      <c r="AC196" s="134" t="s">
        <v>231</v>
      </c>
      <c r="AD196" s="134" t="s">
        <v>231</v>
      </c>
      <c r="AE196" s="134" t="s">
        <v>231</v>
      </c>
      <c r="AF196" s="134" t="s">
        <v>231</v>
      </c>
      <c r="AG196" s="134" t="s">
        <v>231</v>
      </c>
      <c r="AH196" s="134" t="s">
        <v>231</v>
      </c>
      <c r="AI196" s="134" t="s">
        <v>231</v>
      </c>
      <c r="AJ196" s="134" t="s">
        <v>231</v>
      </c>
      <c r="AK196" s="134" t="s">
        <v>231</v>
      </c>
      <c r="AL196" s="134" t="s">
        <v>231</v>
      </c>
      <c r="AM196" s="134" t="s">
        <v>231</v>
      </c>
      <c r="AN196" s="134" t="s">
        <v>231</v>
      </c>
      <c r="AO196" s="134" t="s">
        <v>231</v>
      </c>
      <c r="AP196" s="134" t="s">
        <v>231</v>
      </c>
      <c r="AQ196" s="134" t="s">
        <v>231</v>
      </c>
      <c r="AR196" s="134" t="s">
        <v>231</v>
      </c>
      <c r="AS196" s="134" t="s">
        <v>231</v>
      </c>
      <c r="AT196" s="134" t="s">
        <v>231</v>
      </c>
      <c r="AU196" s="134" t="s">
        <v>231</v>
      </c>
      <c r="AV196" s="134" t="s">
        <v>231</v>
      </c>
      <c r="AW196" s="134" t="s">
        <v>231</v>
      </c>
      <c r="AX196" s="134" t="s">
        <v>231</v>
      </c>
      <c r="AY196" s="134" t="s">
        <v>231</v>
      </c>
      <c r="AZ196" s="134" t="s">
        <v>231</v>
      </c>
      <c r="BA196" s="134" t="s">
        <v>231</v>
      </c>
      <c r="BB196" s="134" t="s">
        <v>231</v>
      </c>
      <c r="BC196" s="134" t="s">
        <v>231</v>
      </c>
      <c r="BD196" s="134" t="s">
        <v>231</v>
      </c>
      <c r="BE196" s="134" t="s">
        <v>231</v>
      </c>
      <c r="BF196" s="134" t="s">
        <v>231</v>
      </c>
      <c r="BG196" s="134" t="s">
        <v>231</v>
      </c>
      <c r="BH196" s="134" t="s">
        <v>231</v>
      </c>
      <c r="BI196" s="134" t="s">
        <v>231</v>
      </c>
      <c r="BJ196" s="134" t="s">
        <v>231</v>
      </c>
      <c r="BK196" s="134" t="s">
        <v>231</v>
      </c>
      <c r="BL196" s="134" t="s">
        <v>231</v>
      </c>
      <c r="BM196" s="134" t="s">
        <v>231</v>
      </c>
      <c r="BN196" s="134" t="s">
        <v>231</v>
      </c>
      <c r="BO196" s="134" t="s">
        <v>231</v>
      </c>
      <c r="BP196" s="134" t="s">
        <v>231</v>
      </c>
      <c r="BQ196" s="134" t="s">
        <v>231</v>
      </c>
      <c r="BR196" s="134" t="s">
        <v>231</v>
      </c>
      <c r="BS196" s="134" t="s">
        <v>231</v>
      </c>
      <c r="BT196" s="134" t="s">
        <v>231</v>
      </c>
      <c r="BU196" s="134" t="s">
        <v>231</v>
      </c>
      <c r="BV196" s="134" t="s">
        <v>231</v>
      </c>
      <c r="BW196" s="134" t="s">
        <v>231</v>
      </c>
      <c r="BX196" s="134" t="s">
        <v>231</v>
      </c>
      <c r="BY196" s="197"/>
      <c r="BZ196" s="197"/>
      <c r="CA196" s="197"/>
      <c r="CB196" s="197"/>
      <c r="CC196" s="197"/>
      <c r="CD196" s="197"/>
      <c r="CE196" s="197"/>
      <c r="CF196" s="197"/>
      <c r="CG196" s="197"/>
      <c r="CH196" s="197"/>
    </row>
    <row r="197" spans="1:86" ht="14.25">
      <c r="A197" s="166"/>
      <c r="B197" s="134" t="s">
        <v>232</v>
      </c>
      <c r="C197" s="134" t="s">
        <v>232</v>
      </c>
      <c r="D197" s="134" t="s">
        <v>232</v>
      </c>
      <c r="E197" s="134" t="s">
        <v>232</v>
      </c>
      <c r="F197" s="134" t="s">
        <v>232</v>
      </c>
      <c r="G197" s="134" t="s">
        <v>232</v>
      </c>
      <c r="H197" s="134" t="s">
        <v>232</v>
      </c>
      <c r="I197" s="134" t="s">
        <v>232</v>
      </c>
      <c r="J197" s="134" t="s">
        <v>232</v>
      </c>
      <c r="K197" s="134" t="s">
        <v>232</v>
      </c>
      <c r="L197" s="134" t="s">
        <v>232</v>
      </c>
      <c r="M197" s="134" t="s">
        <v>232</v>
      </c>
      <c r="N197" s="134" t="s">
        <v>232</v>
      </c>
      <c r="O197" s="134" t="s">
        <v>232</v>
      </c>
      <c r="P197" s="134" t="s">
        <v>232</v>
      </c>
      <c r="Q197" s="134" t="s">
        <v>232</v>
      </c>
      <c r="R197" s="134" t="s">
        <v>232</v>
      </c>
      <c r="S197" s="134" t="s">
        <v>232</v>
      </c>
      <c r="T197" s="134" t="s">
        <v>232</v>
      </c>
      <c r="U197" s="134" t="s">
        <v>232</v>
      </c>
      <c r="V197" s="134" t="s">
        <v>232</v>
      </c>
      <c r="W197" s="134" t="s">
        <v>232</v>
      </c>
      <c r="X197" s="134" t="s">
        <v>232</v>
      </c>
      <c r="Y197" s="134" t="s">
        <v>232</v>
      </c>
      <c r="Z197" s="134" t="s">
        <v>232</v>
      </c>
      <c r="AA197" s="138" t="str">
        <f>IF(Configurator!$P$6=1,'Date Drivers HIST'!$Z$197,$AN$197)</f>
        <v>E9650300</v>
      </c>
      <c r="AB197" s="138" t="str">
        <f>IF(Configurator!$P$6=1,'Date Drivers HIST'!$Z$197,$AN$197)</f>
        <v>E9650300</v>
      </c>
      <c r="AC197" s="134" t="s">
        <v>232</v>
      </c>
      <c r="AD197" s="134" t="s">
        <v>232</v>
      </c>
      <c r="AE197" s="134" t="s">
        <v>232</v>
      </c>
      <c r="AF197" s="134" t="s">
        <v>232</v>
      </c>
      <c r="AG197" s="134" t="s">
        <v>232</v>
      </c>
      <c r="AH197" s="134" t="s">
        <v>232</v>
      </c>
      <c r="AI197" s="134" t="s">
        <v>232</v>
      </c>
      <c r="AJ197" s="134" t="s">
        <v>232</v>
      </c>
      <c r="AK197" s="134" t="s">
        <v>232</v>
      </c>
      <c r="AL197" s="134" t="s">
        <v>232</v>
      </c>
      <c r="AM197" s="134" t="s">
        <v>232</v>
      </c>
      <c r="AN197" s="134" t="s">
        <v>232</v>
      </c>
      <c r="AO197" s="134" t="s">
        <v>232</v>
      </c>
      <c r="AP197" s="134" t="s">
        <v>232</v>
      </c>
      <c r="AQ197" s="134" t="s">
        <v>232</v>
      </c>
      <c r="AR197" s="134" t="s">
        <v>232</v>
      </c>
      <c r="AS197" s="134" t="s">
        <v>232</v>
      </c>
      <c r="AT197" s="134" t="s">
        <v>232</v>
      </c>
      <c r="AU197" s="134" t="s">
        <v>232</v>
      </c>
      <c r="AV197" s="134" t="s">
        <v>232</v>
      </c>
      <c r="AW197" s="134" t="s">
        <v>232</v>
      </c>
      <c r="AX197" s="134" t="s">
        <v>232</v>
      </c>
      <c r="AY197" s="134" t="s">
        <v>232</v>
      </c>
      <c r="AZ197" s="134" t="s">
        <v>232</v>
      </c>
      <c r="BA197" s="134" t="s">
        <v>232</v>
      </c>
      <c r="BB197" s="134" t="s">
        <v>232</v>
      </c>
      <c r="BC197" s="134" t="s">
        <v>232</v>
      </c>
      <c r="BD197" s="134" t="s">
        <v>232</v>
      </c>
      <c r="BE197" s="134" t="s">
        <v>232</v>
      </c>
      <c r="BF197" s="134" t="s">
        <v>232</v>
      </c>
      <c r="BG197" s="134" t="s">
        <v>232</v>
      </c>
      <c r="BH197" s="134" t="s">
        <v>232</v>
      </c>
      <c r="BI197" s="134" t="s">
        <v>232</v>
      </c>
      <c r="BJ197" s="134" t="s">
        <v>232</v>
      </c>
      <c r="BK197" s="134" t="s">
        <v>232</v>
      </c>
      <c r="BL197" s="134" t="s">
        <v>232</v>
      </c>
      <c r="BM197" s="134" t="s">
        <v>232</v>
      </c>
      <c r="BN197" s="134" t="s">
        <v>232</v>
      </c>
      <c r="BO197" s="134" t="s">
        <v>232</v>
      </c>
      <c r="BP197" s="134" t="s">
        <v>232</v>
      </c>
      <c r="BQ197" s="134" t="s">
        <v>232</v>
      </c>
      <c r="BR197" s="134" t="s">
        <v>232</v>
      </c>
      <c r="BS197" s="134" t="s">
        <v>232</v>
      </c>
      <c r="BT197" s="134" t="s">
        <v>232</v>
      </c>
      <c r="BU197" s="134" t="s">
        <v>232</v>
      </c>
      <c r="BV197" s="134" t="s">
        <v>232</v>
      </c>
      <c r="BW197" s="134" t="s">
        <v>232</v>
      </c>
      <c r="BX197" s="134" t="s">
        <v>232</v>
      </c>
      <c r="BY197" s="197"/>
      <c r="BZ197" s="197"/>
      <c r="CA197" s="197"/>
      <c r="CB197" s="197"/>
      <c r="CC197" s="197"/>
      <c r="CD197" s="197"/>
      <c r="CE197" s="197"/>
      <c r="CF197" s="197"/>
      <c r="CG197" s="197"/>
      <c r="CH197" s="197"/>
    </row>
    <row r="198" spans="1:86" ht="14.25">
      <c r="A198" s="166"/>
      <c r="B198" s="134" t="s">
        <v>233</v>
      </c>
      <c r="C198" s="134" t="s">
        <v>233</v>
      </c>
      <c r="D198" s="134" t="s">
        <v>233</v>
      </c>
      <c r="E198" s="134" t="s">
        <v>233</v>
      </c>
      <c r="F198" s="134" t="s">
        <v>233</v>
      </c>
      <c r="G198" s="134" t="s">
        <v>233</v>
      </c>
      <c r="H198" s="134" t="s">
        <v>233</v>
      </c>
      <c r="I198" s="134" t="s">
        <v>233</v>
      </c>
      <c r="J198" s="134" t="s">
        <v>233</v>
      </c>
      <c r="K198" s="134" t="s">
        <v>233</v>
      </c>
      <c r="L198" s="134" t="s">
        <v>233</v>
      </c>
      <c r="M198" s="134" t="s">
        <v>233</v>
      </c>
      <c r="N198" s="134" t="s">
        <v>233</v>
      </c>
      <c r="O198" s="134" t="s">
        <v>233</v>
      </c>
      <c r="P198" s="134" t="s">
        <v>233</v>
      </c>
      <c r="Q198" s="134" t="s">
        <v>233</v>
      </c>
      <c r="R198" s="134" t="s">
        <v>233</v>
      </c>
      <c r="S198" s="134" t="s">
        <v>233</v>
      </c>
      <c r="T198" s="134" t="s">
        <v>233</v>
      </c>
      <c r="U198" s="134" t="s">
        <v>233</v>
      </c>
      <c r="V198" s="134" t="s">
        <v>233</v>
      </c>
      <c r="W198" s="134" t="s">
        <v>233</v>
      </c>
      <c r="X198" s="134" t="s">
        <v>233</v>
      </c>
      <c r="Y198" s="134" t="s">
        <v>233</v>
      </c>
      <c r="Z198" s="134" t="s">
        <v>233</v>
      </c>
      <c r="AA198" s="138" t="str">
        <f>IF(Configurator!$P$6=1,'Date Drivers HIST'!$Z198,$AN198)</f>
        <v>E9650320</v>
      </c>
      <c r="AB198" s="138" t="str">
        <f>IF(Configurator!$P$6=1,'Date Drivers HIST'!$Z198,$AN198)</f>
        <v>E9650320</v>
      </c>
      <c r="AC198" s="134" t="s">
        <v>233</v>
      </c>
      <c r="AD198" s="134" t="s">
        <v>233</v>
      </c>
      <c r="AE198" s="134" t="s">
        <v>233</v>
      </c>
      <c r="AF198" s="134" t="s">
        <v>233</v>
      </c>
      <c r="AG198" s="134" t="s">
        <v>233</v>
      </c>
      <c r="AH198" s="134" t="s">
        <v>233</v>
      </c>
      <c r="AI198" s="134" t="s">
        <v>233</v>
      </c>
      <c r="AJ198" s="134" t="s">
        <v>233</v>
      </c>
      <c r="AK198" s="134" t="s">
        <v>233</v>
      </c>
      <c r="AL198" s="134" t="s">
        <v>233</v>
      </c>
      <c r="AM198" s="134" t="s">
        <v>233</v>
      </c>
      <c r="AN198" s="134" t="s">
        <v>233</v>
      </c>
      <c r="AO198" s="134" t="s">
        <v>233</v>
      </c>
      <c r="AP198" s="134" t="s">
        <v>233</v>
      </c>
      <c r="AQ198" s="134" t="s">
        <v>233</v>
      </c>
      <c r="AR198" s="134" t="s">
        <v>233</v>
      </c>
      <c r="AS198" s="134" t="s">
        <v>233</v>
      </c>
      <c r="AT198" s="134" t="s">
        <v>233</v>
      </c>
      <c r="AU198" s="134" t="s">
        <v>233</v>
      </c>
      <c r="AV198" s="134" t="s">
        <v>233</v>
      </c>
      <c r="AW198" s="134" t="s">
        <v>233</v>
      </c>
      <c r="AX198" s="134" t="s">
        <v>233</v>
      </c>
      <c r="AY198" s="134" t="s">
        <v>233</v>
      </c>
      <c r="AZ198" s="134" t="s">
        <v>233</v>
      </c>
      <c r="BA198" s="134" t="s">
        <v>233</v>
      </c>
      <c r="BB198" s="134" t="s">
        <v>233</v>
      </c>
      <c r="BC198" s="134" t="s">
        <v>233</v>
      </c>
      <c r="BD198" s="134" t="s">
        <v>233</v>
      </c>
      <c r="BE198" s="134" t="s">
        <v>233</v>
      </c>
      <c r="BF198" s="134" t="s">
        <v>233</v>
      </c>
      <c r="BG198" s="134" t="s">
        <v>233</v>
      </c>
      <c r="BH198" s="134" t="s">
        <v>233</v>
      </c>
      <c r="BI198" s="134" t="s">
        <v>233</v>
      </c>
      <c r="BJ198" s="134" t="s">
        <v>233</v>
      </c>
      <c r="BK198" s="134" t="s">
        <v>233</v>
      </c>
      <c r="BL198" s="134" t="s">
        <v>233</v>
      </c>
      <c r="BM198" s="134" t="s">
        <v>233</v>
      </c>
      <c r="BN198" s="134" t="s">
        <v>233</v>
      </c>
      <c r="BO198" s="138" t="str">
        <f>IF(AND(Configurator!$D$24&gt;"H",Configurator!$T$5="6"),"E9650387","E9650320")</f>
        <v>E9650320</v>
      </c>
      <c r="BP198" s="134" t="s">
        <v>233</v>
      </c>
      <c r="BQ198" s="138" t="str">
        <f>IF(AND(Configurator!$D$24&gt;"H",Configurator!$T$5="6"),"E9650387","E9650320")</f>
        <v>E9650320</v>
      </c>
      <c r="BR198" s="134" t="s">
        <v>233</v>
      </c>
      <c r="BS198" s="138" t="str">
        <f>IF(AND(Configurator!$D$24&gt;"H",Configurator!$T$5="6"),"E9650387","E9650320")</f>
        <v>E9650320</v>
      </c>
      <c r="BT198" s="138" t="str">
        <f>IF(AND(Configurator!$D$24&gt;"H",Configurator!$T$5="6"),"E9650387","E9650320")</f>
        <v>E9650320</v>
      </c>
      <c r="BU198" s="134" t="s">
        <v>233</v>
      </c>
      <c r="BV198" s="138" t="str">
        <f>IF(AND(Configurator!$D$24&gt;"H",Configurator!$T$5="6"),"E9650387","E9650320")</f>
        <v>E9650320</v>
      </c>
      <c r="BW198" s="134" t="s">
        <v>233</v>
      </c>
      <c r="BX198" s="138" t="str">
        <f>IF(AND(Configurator!$D$24&gt;"H",Configurator!$T$5="6"),"E9650387","E9650320")</f>
        <v>E9650320</v>
      </c>
      <c r="BY198" s="197"/>
      <c r="BZ198" s="197"/>
      <c r="CA198" s="197"/>
      <c r="CB198" s="197"/>
      <c r="CC198" s="197"/>
      <c r="CD198" s="197"/>
      <c r="CE198" s="197"/>
      <c r="CF198" s="197"/>
      <c r="CG198" s="197"/>
      <c r="CH198" s="197"/>
    </row>
    <row r="199" spans="1:86" ht="14.25">
      <c r="A199" s="166"/>
      <c r="B199" s="134" t="s">
        <v>234</v>
      </c>
      <c r="C199" s="134" t="s">
        <v>234</v>
      </c>
      <c r="D199" s="134" t="s">
        <v>234</v>
      </c>
      <c r="E199" s="134" t="s">
        <v>234</v>
      </c>
      <c r="F199" s="134" t="s">
        <v>234</v>
      </c>
      <c r="G199" s="134" t="s">
        <v>234</v>
      </c>
      <c r="H199" s="134" t="s">
        <v>234</v>
      </c>
      <c r="I199" s="134" t="s">
        <v>234</v>
      </c>
      <c r="J199" s="134" t="s">
        <v>234</v>
      </c>
      <c r="K199" s="134" t="s">
        <v>234</v>
      </c>
      <c r="L199" s="134" t="s">
        <v>234</v>
      </c>
      <c r="M199" s="134" t="s">
        <v>234</v>
      </c>
      <c r="N199" s="134" t="s">
        <v>234</v>
      </c>
      <c r="O199" s="134" t="s">
        <v>234</v>
      </c>
      <c r="P199" s="134" t="s">
        <v>234</v>
      </c>
      <c r="Q199" s="134" t="s">
        <v>234</v>
      </c>
      <c r="R199" s="134" t="s">
        <v>234</v>
      </c>
      <c r="S199" s="134" t="s">
        <v>234</v>
      </c>
      <c r="T199" s="134" t="s">
        <v>234</v>
      </c>
      <c r="U199" s="134" t="s">
        <v>234</v>
      </c>
      <c r="V199" s="134" t="s">
        <v>234</v>
      </c>
      <c r="W199" s="134" t="s">
        <v>234</v>
      </c>
      <c r="X199" s="134" t="s">
        <v>234</v>
      </c>
      <c r="Y199" s="134" t="s">
        <v>234</v>
      </c>
      <c r="Z199" s="134" t="s">
        <v>234</v>
      </c>
      <c r="AA199" s="138" t="str">
        <f>IF(Configurator!$P$6=1,'Date Drivers HIST'!$Z199,$AN199)</f>
        <v>EGN9063001</v>
      </c>
      <c r="AB199" s="138" t="str">
        <f>IF(Configurator!$P$6=1,'Date Drivers HIST'!$Z199,$AN199)</f>
        <v>EGN9063001</v>
      </c>
      <c r="AC199" s="134" t="s">
        <v>234</v>
      </c>
      <c r="AD199" s="134" t="s">
        <v>234</v>
      </c>
      <c r="AE199" s="134" t="s">
        <v>234</v>
      </c>
      <c r="AF199" s="134" t="s">
        <v>234</v>
      </c>
      <c r="AG199" s="134" t="s">
        <v>234</v>
      </c>
      <c r="AH199" s="134" t="s">
        <v>234</v>
      </c>
      <c r="AI199" s="134" t="s">
        <v>234</v>
      </c>
      <c r="AJ199" s="134" t="s">
        <v>234</v>
      </c>
      <c r="AK199" s="134" t="s">
        <v>234</v>
      </c>
      <c r="AL199" s="134" t="s">
        <v>234</v>
      </c>
      <c r="AM199" s="134" t="s">
        <v>234</v>
      </c>
      <c r="AN199" s="134" t="s">
        <v>234</v>
      </c>
      <c r="AO199" s="134" t="s">
        <v>234</v>
      </c>
      <c r="AP199" s="134" t="s">
        <v>234</v>
      </c>
      <c r="AQ199" s="134" t="s">
        <v>234</v>
      </c>
      <c r="AR199" s="134" t="s">
        <v>234</v>
      </c>
      <c r="AS199" s="134" t="s">
        <v>234</v>
      </c>
      <c r="AT199" s="134" t="s">
        <v>234</v>
      </c>
      <c r="AU199" s="134" t="s">
        <v>234</v>
      </c>
      <c r="AV199" s="134" t="s">
        <v>234</v>
      </c>
      <c r="AW199" s="134" t="s">
        <v>234</v>
      </c>
      <c r="AX199" s="134" t="s">
        <v>234</v>
      </c>
      <c r="AY199" s="134" t="s">
        <v>234</v>
      </c>
      <c r="AZ199" s="134" t="s">
        <v>234</v>
      </c>
      <c r="BA199" s="134" t="s">
        <v>234</v>
      </c>
      <c r="BB199" s="134" t="s">
        <v>234</v>
      </c>
      <c r="BC199" s="134" t="s">
        <v>234</v>
      </c>
      <c r="BD199" s="134" t="s">
        <v>234</v>
      </c>
      <c r="BE199" s="134" t="s">
        <v>234</v>
      </c>
      <c r="BF199" s="134" t="s">
        <v>234</v>
      </c>
      <c r="BG199" s="134" t="s">
        <v>234</v>
      </c>
      <c r="BH199" s="134" t="s">
        <v>234</v>
      </c>
      <c r="BI199" s="134" t="s">
        <v>234</v>
      </c>
      <c r="BJ199" s="134" t="s">
        <v>234</v>
      </c>
      <c r="BK199" s="134" t="s">
        <v>234</v>
      </c>
      <c r="BL199" s="134" t="s">
        <v>234</v>
      </c>
      <c r="BM199" s="134" t="s">
        <v>234</v>
      </c>
      <c r="BN199" s="134" t="s">
        <v>234</v>
      </c>
      <c r="BO199" s="134" t="s">
        <v>234</v>
      </c>
      <c r="BP199" s="134" t="s">
        <v>234</v>
      </c>
      <c r="BQ199" s="134" t="s">
        <v>234</v>
      </c>
      <c r="BR199" s="134" t="s">
        <v>234</v>
      </c>
      <c r="BS199" s="134" t="s">
        <v>234</v>
      </c>
      <c r="BT199" s="134" t="s">
        <v>234</v>
      </c>
      <c r="BU199" s="134" t="s">
        <v>234</v>
      </c>
      <c r="BV199" s="134" t="s">
        <v>234</v>
      </c>
      <c r="BW199" s="134" t="s">
        <v>234</v>
      </c>
      <c r="BX199" s="134" t="s">
        <v>234</v>
      </c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</row>
    <row r="200" spans="1:86" ht="14.25">
      <c r="A200" s="166"/>
      <c r="B200" s="134" t="s">
        <v>235</v>
      </c>
      <c r="C200" s="134" t="s">
        <v>235</v>
      </c>
      <c r="D200" s="134" t="s">
        <v>235</v>
      </c>
      <c r="E200" s="134" t="s">
        <v>235</v>
      </c>
      <c r="F200" s="134" t="s">
        <v>235</v>
      </c>
      <c r="G200" s="134" t="s">
        <v>235</v>
      </c>
      <c r="H200" s="134" t="s">
        <v>235</v>
      </c>
      <c r="I200" s="134" t="s">
        <v>235</v>
      </c>
      <c r="J200" s="134" t="s">
        <v>235</v>
      </c>
      <c r="K200" s="134" t="s">
        <v>235</v>
      </c>
      <c r="L200" s="134" t="s">
        <v>235</v>
      </c>
      <c r="M200" s="134" t="s">
        <v>235</v>
      </c>
      <c r="N200" s="134" t="s">
        <v>235</v>
      </c>
      <c r="O200" s="134" t="s">
        <v>235</v>
      </c>
      <c r="P200" s="134" t="s">
        <v>235</v>
      </c>
      <c r="Q200" s="134" t="s">
        <v>235</v>
      </c>
      <c r="R200" s="134" t="s">
        <v>235</v>
      </c>
      <c r="S200" s="134" t="s">
        <v>235</v>
      </c>
      <c r="T200" s="134" t="s">
        <v>235</v>
      </c>
      <c r="U200" s="134" t="s">
        <v>235</v>
      </c>
      <c r="V200" s="134" t="s">
        <v>235</v>
      </c>
      <c r="W200" s="134" t="s">
        <v>235</v>
      </c>
      <c r="X200" s="134" t="s">
        <v>235</v>
      </c>
      <c r="Y200" s="134" t="s">
        <v>235</v>
      </c>
      <c r="Z200" s="134" t="s">
        <v>235</v>
      </c>
      <c r="AA200" s="138" t="str">
        <f>IF(Configurator!$P$6=1,'Date Drivers HIST'!$Z200,$AN200)</f>
        <v>EGN9011012</v>
      </c>
      <c r="AB200" s="138" t="str">
        <f>IF(Configurator!$P$6=1,'Date Drivers HIST'!$Z200,$AN200)</f>
        <v>EGN9011012</v>
      </c>
      <c r="AC200" s="134" t="s">
        <v>235</v>
      </c>
      <c r="AD200" s="134" t="s">
        <v>235</v>
      </c>
      <c r="AE200" s="134" t="s">
        <v>235</v>
      </c>
      <c r="AF200" s="134" t="s">
        <v>235</v>
      </c>
      <c r="AG200" s="134" t="s">
        <v>235</v>
      </c>
      <c r="AH200" s="134" t="s">
        <v>235</v>
      </c>
      <c r="AI200" s="134" t="s">
        <v>235</v>
      </c>
      <c r="AJ200" s="134" t="s">
        <v>235</v>
      </c>
      <c r="AK200" s="134" t="s">
        <v>235</v>
      </c>
      <c r="AL200" s="134" t="s">
        <v>235</v>
      </c>
      <c r="AM200" s="134" t="s">
        <v>235</v>
      </c>
      <c r="AN200" s="134" t="s">
        <v>235</v>
      </c>
      <c r="AO200" s="134" t="s">
        <v>235</v>
      </c>
      <c r="AP200" s="134" t="s">
        <v>235</v>
      </c>
      <c r="AQ200" s="134" t="s">
        <v>235</v>
      </c>
      <c r="AR200" s="134" t="s">
        <v>235</v>
      </c>
      <c r="AS200" s="134" t="s">
        <v>235</v>
      </c>
      <c r="AT200" s="134" t="s">
        <v>235</v>
      </c>
      <c r="AU200" s="134" t="s">
        <v>235</v>
      </c>
      <c r="AV200" s="134" t="s">
        <v>235</v>
      </c>
      <c r="AW200" s="134" t="s">
        <v>235</v>
      </c>
      <c r="AX200" s="134" t="s">
        <v>235</v>
      </c>
      <c r="AY200" s="134" t="s">
        <v>235</v>
      </c>
      <c r="AZ200" s="134" t="s">
        <v>235</v>
      </c>
      <c r="BA200" s="134" t="s">
        <v>235</v>
      </c>
      <c r="BB200" s="134" t="s">
        <v>235</v>
      </c>
      <c r="BC200" s="134" t="s">
        <v>235</v>
      </c>
      <c r="BD200" s="134" t="s">
        <v>235</v>
      </c>
      <c r="BE200" s="134" t="s">
        <v>235</v>
      </c>
      <c r="BF200" s="134" t="s">
        <v>235</v>
      </c>
      <c r="BG200" s="134" t="s">
        <v>235</v>
      </c>
      <c r="BH200" s="134" t="s">
        <v>235</v>
      </c>
      <c r="BI200" s="134" t="s">
        <v>235</v>
      </c>
      <c r="BJ200" s="134" t="s">
        <v>235</v>
      </c>
      <c r="BK200" s="134" t="s">
        <v>235</v>
      </c>
      <c r="BL200" s="134" t="s">
        <v>235</v>
      </c>
      <c r="BM200" s="134" t="s">
        <v>235</v>
      </c>
      <c r="BN200" s="134" t="s">
        <v>235</v>
      </c>
      <c r="BO200" s="134" t="s">
        <v>235</v>
      </c>
      <c r="BP200" s="134" t="s">
        <v>235</v>
      </c>
      <c r="BQ200" s="134" t="s">
        <v>235</v>
      </c>
      <c r="BR200" s="134" t="s">
        <v>235</v>
      </c>
      <c r="BS200" s="134" t="s">
        <v>235</v>
      </c>
      <c r="BT200" s="134" t="s">
        <v>235</v>
      </c>
      <c r="BU200" s="134" t="s">
        <v>235</v>
      </c>
      <c r="BV200" s="134" t="s">
        <v>235</v>
      </c>
      <c r="BW200" s="134" t="s">
        <v>235</v>
      </c>
      <c r="BX200" s="134" t="s">
        <v>235</v>
      </c>
      <c r="BY200" s="197"/>
      <c r="BZ200" s="197"/>
      <c r="CA200" s="197"/>
      <c r="CB200" s="197"/>
      <c r="CC200" s="197"/>
      <c r="CD200" s="197"/>
      <c r="CE200" s="197"/>
      <c r="CF200" s="197"/>
      <c r="CG200" s="197"/>
      <c r="CH200" s="197"/>
    </row>
    <row r="201" spans="1:86" ht="14.25">
      <c r="A201" s="166"/>
      <c r="B201" s="134" t="s">
        <v>236</v>
      </c>
      <c r="C201" s="134" t="s">
        <v>236</v>
      </c>
      <c r="D201" s="134" t="s">
        <v>236</v>
      </c>
      <c r="E201" s="134" t="s">
        <v>236</v>
      </c>
      <c r="F201" s="134" t="s">
        <v>236</v>
      </c>
      <c r="G201" s="134" t="s">
        <v>236</v>
      </c>
      <c r="H201" s="134" t="s">
        <v>236</v>
      </c>
      <c r="I201" s="134" t="s">
        <v>236</v>
      </c>
      <c r="J201" s="134" t="s">
        <v>236</v>
      </c>
      <c r="K201" s="134" t="s">
        <v>236</v>
      </c>
      <c r="L201" s="134" t="s">
        <v>236</v>
      </c>
      <c r="M201" s="134" t="s">
        <v>236</v>
      </c>
      <c r="N201" s="134" t="s">
        <v>236</v>
      </c>
      <c r="O201" s="134" t="s">
        <v>236</v>
      </c>
      <c r="P201" s="134" t="s">
        <v>236</v>
      </c>
      <c r="Q201" s="134" t="s">
        <v>236</v>
      </c>
      <c r="R201" s="134" t="s">
        <v>236</v>
      </c>
      <c r="S201" s="134" t="s">
        <v>236</v>
      </c>
      <c r="T201" s="134" t="s">
        <v>236</v>
      </c>
      <c r="U201" s="134" t="s">
        <v>236</v>
      </c>
      <c r="V201" s="134" t="s">
        <v>236</v>
      </c>
      <c r="W201" s="134" t="s">
        <v>236</v>
      </c>
      <c r="X201" s="134" t="s">
        <v>236</v>
      </c>
      <c r="Y201" s="134" t="s">
        <v>236</v>
      </c>
      <c r="Z201" s="134" t="s">
        <v>236</v>
      </c>
      <c r="AA201" s="138" t="str">
        <f>IF(Configurator!$P$6=1,'Date Drivers HIST'!$Z$201,$AN$201)</f>
        <v>EGN9011013</v>
      </c>
      <c r="AB201" s="138" t="str">
        <f>IF(Configurator!$P$6=1,'Date Drivers HIST'!$Z$201,$AN$201)</f>
        <v>EGN9011013</v>
      </c>
      <c r="AC201" s="134" t="s">
        <v>236</v>
      </c>
      <c r="AD201" s="134" t="s">
        <v>236</v>
      </c>
      <c r="AE201" s="134" t="s">
        <v>236</v>
      </c>
      <c r="AF201" s="134" t="s">
        <v>236</v>
      </c>
      <c r="AG201" s="134" t="s">
        <v>236</v>
      </c>
      <c r="AH201" s="134" t="s">
        <v>236</v>
      </c>
      <c r="AI201" s="134" t="s">
        <v>236</v>
      </c>
      <c r="AJ201" s="134" t="s">
        <v>236</v>
      </c>
      <c r="AK201" s="134" t="s">
        <v>236</v>
      </c>
      <c r="AL201" s="134" t="s">
        <v>236</v>
      </c>
      <c r="AM201" s="134" t="s">
        <v>236</v>
      </c>
      <c r="AN201" s="134" t="s">
        <v>236</v>
      </c>
      <c r="AO201" s="134" t="s">
        <v>236</v>
      </c>
      <c r="AP201" s="134" t="s">
        <v>236</v>
      </c>
      <c r="AQ201" s="134" t="s">
        <v>236</v>
      </c>
      <c r="AR201" s="134" t="s">
        <v>236</v>
      </c>
      <c r="AS201" s="134" t="s">
        <v>236</v>
      </c>
      <c r="AT201" s="134" t="s">
        <v>236</v>
      </c>
      <c r="AU201" s="134" t="s">
        <v>236</v>
      </c>
      <c r="AV201" s="134" t="s">
        <v>236</v>
      </c>
      <c r="AW201" s="134" t="s">
        <v>236</v>
      </c>
      <c r="AX201" s="134" t="s">
        <v>236</v>
      </c>
      <c r="AY201" s="134" t="s">
        <v>236</v>
      </c>
      <c r="AZ201" s="134" t="s">
        <v>236</v>
      </c>
      <c r="BA201" s="134" t="s">
        <v>236</v>
      </c>
      <c r="BB201" s="134" t="s">
        <v>236</v>
      </c>
      <c r="BC201" s="134" t="s">
        <v>236</v>
      </c>
      <c r="BD201" s="134" t="s">
        <v>236</v>
      </c>
      <c r="BE201" s="134" t="s">
        <v>236</v>
      </c>
      <c r="BF201" s="134" t="s">
        <v>236</v>
      </c>
      <c r="BG201" s="134" t="s">
        <v>236</v>
      </c>
      <c r="BH201" s="134" t="s">
        <v>236</v>
      </c>
      <c r="BI201" s="134" t="s">
        <v>236</v>
      </c>
      <c r="BJ201" s="134" t="s">
        <v>236</v>
      </c>
      <c r="BK201" s="134" t="s">
        <v>236</v>
      </c>
      <c r="BL201" s="134" t="s">
        <v>236</v>
      </c>
      <c r="BM201" s="134" t="s">
        <v>236</v>
      </c>
      <c r="BN201" s="134" t="s">
        <v>236</v>
      </c>
      <c r="BO201" s="134" t="s">
        <v>236</v>
      </c>
      <c r="BP201" s="134" t="s">
        <v>236</v>
      </c>
      <c r="BQ201" s="134" t="s">
        <v>236</v>
      </c>
      <c r="BR201" s="134" t="s">
        <v>236</v>
      </c>
      <c r="BS201" s="134" t="s">
        <v>236</v>
      </c>
      <c r="BT201" s="134" t="s">
        <v>236</v>
      </c>
      <c r="BU201" s="134" t="s">
        <v>236</v>
      </c>
      <c r="BV201" s="134" t="s">
        <v>236</v>
      </c>
      <c r="BW201" s="134" t="s">
        <v>236</v>
      </c>
      <c r="BX201" s="134" t="s">
        <v>236</v>
      </c>
      <c r="BY201" s="197"/>
      <c r="BZ201" s="197"/>
      <c r="CA201" s="197"/>
      <c r="CB201" s="197"/>
      <c r="CC201" s="197"/>
      <c r="CD201" s="197"/>
      <c r="CE201" s="197"/>
      <c r="CF201" s="197"/>
      <c r="CG201" s="197"/>
      <c r="CH201" s="197"/>
    </row>
    <row r="202" spans="1:86" ht="14.25">
      <c r="A202" s="166"/>
      <c r="B202" s="134" t="s">
        <v>237</v>
      </c>
      <c r="C202" s="134" t="s">
        <v>237</v>
      </c>
      <c r="D202" s="134" t="s">
        <v>237</v>
      </c>
      <c r="E202" s="134" t="s">
        <v>237</v>
      </c>
      <c r="F202" s="134" t="s">
        <v>237</v>
      </c>
      <c r="G202" s="134" t="s">
        <v>237</v>
      </c>
      <c r="H202" s="134" t="s">
        <v>237</v>
      </c>
      <c r="I202" s="134" t="s">
        <v>237</v>
      </c>
      <c r="J202" s="134" t="s">
        <v>237</v>
      </c>
      <c r="K202" s="134" t="s">
        <v>237</v>
      </c>
      <c r="L202" s="134" t="s">
        <v>237</v>
      </c>
      <c r="M202" s="134" t="s">
        <v>237</v>
      </c>
      <c r="N202" s="134" t="s">
        <v>237</v>
      </c>
      <c r="O202" s="134" t="s">
        <v>237</v>
      </c>
      <c r="P202" s="134" t="s">
        <v>237</v>
      </c>
      <c r="Q202" s="134" t="s">
        <v>237</v>
      </c>
      <c r="R202" s="134" t="s">
        <v>237</v>
      </c>
      <c r="S202" s="134" t="s">
        <v>237</v>
      </c>
      <c r="T202" s="134" t="s">
        <v>237</v>
      </c>
      <c r="U202" s="134" t="s">
        <v>237</v>
      </c>
      <c r="V202" s="134" t="s">
        <v>237</v>
      </c>
      <c r="W202" s="134" t="s">
        <v>237</v>
      </c>
      <c r="X202" s="134" t="s">
        <v>237</v>
      </c>
      <c r="Y202" s="134" t="s">
        <v>237</v>
      </c>
      <c r="Z202" s="134" t="s">
        <v>237</v>
      </c>
      <c r="AA202" s="138" t="str">
        <f>IF(Configurator!$P$6=1,'Date Drivers HIST'!$Z$202,$AN$202)</f>
        <v>EGN9011015</v>
      </c>
      <c r="AB202" s="138" t="str">
        <f>IF(Configurator!$P$6=1,'Date Drivers HIST'!$Z$202,$AN$202)</f>
        <v>EGN9011015</v>
      </c>
      <c r="AC202" s="134" t="s">
        <v>237</v>
      </c>
      <c r="AD202" s="134" t="s">
        <v>237</v>
      </c>
      <c r="AE202" s="134" t="s">
        <v>237</v>
      </c>
      <c r="AF202" s="134" t="s">
        <v>237</v>
      </c>
      <c r="AG202" s="134" t="s">
        <v>237</v>
      </c>
      <c r="AH202" s="134" t="s">
        <v>237</v>
      </c>
      <c r="AI202" s="134" t="s">
        <v>237</v>
      </c>
      <c r="AJ202" s="134" t="s">
        <v>237</v>
      </c>
      <c r="AK202" s="134" t="s">
        <v>237</v>
      </c>
      <c r="AL202" s="134" t="s">
        <v>237</v>
      </c>
      <c r="AM202" s="134" t="s">
        <v>237</v>
      </c>
      <c r="AN202" s="134" t="s">
        <v>237</v>
      </c>
      <c r="AO202" s="134" t="s">
        <v>237</v>
      </c>
      <c r="AP202" s="134" t="s">
        <v>237</v>
      </c>
      <c r="AQ202" s="134" t="s">
        <v>237</v>
      </c>
      <c r="AR202" s="134" t="s">
        <v>237</v>
      </c>
      <c r="AS202" s="134" t="s">
        <v>237</v>
      </c>
      <c r="AT202" s="134" t="s">
        <v>237</v>
      </c>
      <c r="AU202" s="134" t="s">
        <v>237</v>
      </c>
      <c r="AV202" s="134" t="s">
        <v>237</v>
      </c>
      <c r="AW202" s="134" t="s">
        <v>237</v>
      </c>
      <c r="AX202" s="134" t="s">
        <v>237</v>
      </c>
      <c r="AY202" s="134" t="s">
        <v>237</v>
      </c>
      <c r="AZ202" s="134" t="s">
        <v>237</v>
      </c>
      <c r="BA202" s="134" t="s">
        <v>237</v>
      </c>
      <c r="BB202" s="134" t="s">
        <v>237</v>
      </c>
      <c r="BC202" s="134" t="s">
        <v>237</v>
      </c>
      <c r="BD202" s="134" t="s">
        <v>237</v>
      </c>
      <c r="BE202" s="134" t="s">
        <v>237</v>
      </c>
      <c r="BF202" s="134" t="s">
        <v>237</v>
      </c>
      <c r="BG202" s="134" t="s">
        <v>237</v>
      </c>
      <c r="BH202" s="134" t="s">
        <v>237</v>
      </c>
      <c r="BI202" s="134" t="s">
        <v>237</v>
      </c>
      <c r="BJ202" s="134" t="s">
        <v>237</v>
      </c>
      <c r="BK202" s="134" t="s">
        <v>237</v>
      </c>
      <c r="BL202" s="134" t="s">
        <v>237</v>
      </c>
      <c r="BM202" s="134" t="s">
        <v>237</v>
      </c>
      <c r="BN202" s="134" t="s">
        <v>237</v>
      </c>
      <c r="BO202" s="134" t="s">
        <v>237</v>
      </c>
      <c r="BP202" s="134" t="s">
        <v>237</v>
      </c>
      <c r="BQ202" s="134" t="s">
        <v>237</v>
      </c>
      <c r="BR202" s="134" t="s">
        <v>237</v>
      </c>
      <c r="BS202" s="134" t="s">
        <v>237</v>
      </c>
      <c r="BT202" s="134" t="s">
        <v>237</v>
      </c>
      <c r="BU202" s="134" t="s">
        <v>237</v>
      </c>
      <c r="BV202" s="134" t="s">
        <v>237</v>
      </c>
      <c r="BW202" s="134" t="s">
        <v>237</v>
      </c>
      <c r="BX202" s="134" t="s">
        <v>237</v>
      </c>
      <c r="BY202" s="197"/>
      <c r="BZ202" s="197"/>
      <c r="CA202" s="197"/>
      <c r="CB202" s="197"/>
      <c r="CC202" s="197"/>
      <c r="CD202" s="197"/>
      <c r="CE202" s="197"/>
      <c r="CF202" s="197"/>
      <c r="CG202" s="197"/>
      <c r="CH202" s="197"/>
    </row>
    <row r="203" spans="1:86" ht="14.25">
      <c r="A203" s="166"/>
      <c r="B203" s="134" t="s">
        <v>238</v>
      </c>
      <c r="C203" s="134" t="s">
        <v>238</v>
      </c>
      <c r="D203" s="134" t="s">
        <v>238</v>
      </c>
      <c r="E203" s="134" t="s">
        <v>238</v>
      </c>
      <c r="F203" s="134" t="s">
        <v>238</v>
      </c>
      <c r="G203" s="134" t="s">
        <v>238</v>
      </c>
      <c r="H203" s="134" t="s">
        <v>238</v>
      </c>
      <c r="I203" s="134" t="s">
        <v>238</v>
      </c>
      <c r="J203" s="134" t="s">
        <v>238</v>
      </c>
      <c r="K203" s="134" t="s">
        <v>238</v>
      </c>
      <c r="L203" s="134" t="s">
        <v>238</v>
      </c>
      <c r="M203" s="134" t="s">
        <v>238</v>
      </c>
      <c r="N203" s="134" t="s">
        <v>238</v>
      </c>
      <c r="O203" s="134" t="s">
        <v>238</v>
      </c>
      <c r="P203" s="134" t="s">
        <v>238</v>
      </c>
      <c r="Q203" s="134" t="s">
        <v>238</v>
      </c>
      <c r="R203" s="134" t="s">
        <v>238</v>
      </c>
      <c r="S203" s="134" t="s">
        <v>238</v>
      </c>
      <c r="T203" s="134" t="s">
        <v>238</v>
      </c>
      <c r="U203" s="134" t="s">
        <v>238</v>
      </c>
      <c r="V203" s="134" t="s">
        <v>238</v>
      </c>
      <c r="W203" s="134" t="s">
        <v>238</v>
      </c>
      <c r="X203" s="134" t="s">
        <v>238</v>
      </c>
      <c r="Y203" s="134" t="s">
        <v>238</v>
      </c>
      <c r="Z203" s="134" t="s">
        <v>238</v>
      </c>
      <c r="AA203" s="138" t="str">
        <f>IF(Configurator!$P$6=1,'Date Drivers HIST'!$Z$203,$AN$203)</f>
        <v>EGN9011045</v>
      </c>
      <c r="AB203" s="138" t="str">
        <f>IF(Configurator!$P$6=1,'Date Drivers HIST'!$Z$203,$AN$203)</f>
        <v>EGN9011045</v>
      </c>
      <c r="AC203" s="134" t="s">
        <v>238</v>
      </c>
      <c r="AD203" s="134" t="s">
        <v>238</v>
      </c>
      <c r="AE203" s="134" t="s">
        <v>238</v>
      </c>
      <c r="AF203" s="134" t="s">
        <v>238</v>
      </c>
      <c r="AG203" s="134" t="s">
        <v>238</v>
      </c>
      <c r="AH203" s="134" t="s">
        <v>238</v>
      </c>
      <c r="AI203" s="134" t="s">
        <v>238</v>
      </c>
      <c r="AJ203" s="134" t="s">
        <v>238</v>
      </c>
      <c r="AK203" s="134" t="s">
        <v>238</v>
      </c>
      <c r="AL203" s="134" t="s">
        <v>238</v>
      </c>
      <c r="AM203" s="134" t="s">
        <v>238</v>
      </c>
      <c r="AN203" s="134" t="s">
        <v>238</v>
      </c>
      <c r="AO203" s="134" t="s">
        <v>238</v>
      </c>
      <c r="AP203" s="134" t="s">
        <v>238</v>
      </c>
      <c r="AQ203" s="134" t="s">
        <v>238</v>
      </c>
      <c r="AR203" s="134" t="s">
        <v>238</v>
      </c>
      <c r="AS203" s="134" t="s">
        <v>238</v>
      </c>
      <c r="AT203" s="134" t="s">
        <v>238</v>
      </c>
      <c r="AU203" s="134" t="s">
        <v>238</v>
      </c>
      <c r="AV203" s="134" t="s">
        <v>238</v>
      </c>
      <c r="AW203" s="134" t="s">
        <v>238</v>
      </c>
      <c r="AX203" s="134" t="s">
        <v>238</v>
      </c>
      <c r="AY203" s="134" t="s">
        <v>238</v>
      </c>
      <c r="AZ203" s="134" t="s">
        <v>238</v>
      </c>
      <c r="BA203" s="134" t="s">
        <v>238</v>
      </c>
      <c r="BB203" s="134" t="s">
        <v>238</v>
      </c>
      <c r="BC203" s="134" t="s">
        <v>238</v>
      </c>
      <c r="BD203" s="134" t="s">
        <v>238</v>
      </c>
      <c r="BE203" s="134" t="s">
        <v>238</v>
      </c>
      <c r="BF203" s="134" t="s">
        <v>238</v>
      </c>
      <c r="BG203" s="134" t="s">
        <v>238</v>
      </c>
      <c r="BH203" s="134" t="s">
        <v>238</v>
      </c>
      <c r="BI203" s="134" t="s">
        <v>238</v>
      </c>
      <c r="BJ203" s="134" t="s">
        <v>238</v>
      </c>
      <c r="BK203" s="134" t="s">
        <v>238</v>
      </c>
      <c r="BL203" s="134" t="s">
        <v>238</v>
      </c>
      <c r="BM203" s="134" t="s">
        <v>238</v>
      </c>
      <c r="BN203" s="134" t="s">
        <v>238</v>
      </c>
      <c r="BO203" s="134" t="s">
        <v>238</v>
      </c>
      <c r="BP203" s="134" t="s">
        <v>238</v>
      </c>
      <c r="BQ203" s="134" t="s">
        <v>238</v>
      </c>
      <c r="BR203" s="134" t="s">
        <v>238</v>
      </c>
      <c r="BS203" s="134" t="s">
        <v>238</v>
      </c>
      <c r="BT203" s="134" t="s">
        <v>238</v>
      </c>
      <c r="BU203" s="134" t="s">
        <v>238</v>
      </c>
      <c r="BV203" s="134" t="s">
        <v>238</v>
      </c>
      <c r="BW203" s="134" t="s">
        <v>238</v>
      </c>
      <c r="BX203" s="134" t="s">
        <v>238</v>
      </c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</row>
    <row r="204" spans="1:86" ht="14.25">
      <c r="A204" s="166"/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82"/>
      <c r="T204" s="151"/>
      <c r="U204" s="151"/>
      <c r="V204" s="151"/>
      <c r="W204" s="151"/>
      <c r="X204" s="182"/>
      <c r="Y204" s="151"/>
      <c r="Z204" s="143"/>
      <c r="AA204" s="143"/>
      <c r="AB204" s="143"/>
      <c r="AC204" s="145" t="s">
        <v>1073</v>
      </c>
      <c r="AD204" s="145" t="s">
        <v>1073</v>
      </c>
      <c r="AE204" s="145" t="s">
        <v>1073</v>
      </c>
      <c r="AF204" s="145" t="s">
        <v>1073</v>
      </c>
      <c r="AG204" s="145" t="s">
        <v>1073</v>
      </c>
      <c r="AH204" s="145" t="s">
        <v>1073</v>
      </c>
      <c r="AI204" s="145" t="s">
        <v>1073</v>
      </c>
      <c r="AJ204" s="145" t="s">
        <v>1073</v>
      </c>
      <c r="AK204" s="145" t="s">
        <v>1073</v>
      </c>
      <c r="AL204" s="145" t="s">
        <v>1073</v>
      </c>
      <c r="AM204" s="145" t="s">
        <v>1073</v>
      </c>
      <c r="AN204" s="145" t="s">
        <v>1073</v>
      </c>
      <c r="AO204" s="145" t="s">
        <v>1073</v>
      </c>
      <c r="AP204" s="145" t="s">
        <v>1073</v>
      </c>
      <c r="AQ204" s="145" t="s">
        <v>1073</v>
      </c>
      <c r="AR204" s="145" t="s">
        <v>1073</v>
      </c>
      <c r="AS204" s="145" t="s">
        <v>1073</v>
      </c>
      <c r="AT204" s="145" t="s">
        <v>1073</v>
      </c>
      <c r="AU204" s="145" t="s">
        <v>1073</v>
      </c>
      <c r="AV204" s="145" t="s">
        <v>1073</v>
      </c>
      <c r="AW204" s="145" t="s">
        <v>1073</v>
      </c>
      <c r="AX204" s="145" t="s">
        <v>1073</v>
      </c>
      <c r="AY204" s="145" t="s">
        <v>1073</v>
      </c>
      <c r="AZ204" s="145" t="s">
        <v>1073</v>
      </c>
      <c r="BA204" s="145" t="s">
        <v>1073</v>
      </c>
      <c r="BB204" s="145" t="s">
        <v>1073</v>
      </c>
      <c r="BC204" s="145" t="s">
        <v>1073</v>
      </c>
      <c r="BD204" s="145" t="s">
        <v>1073</v>
      </c>
      <c r="BE204" s="145" t="s">
        <v>1073</v>
      </c>
      <c r="BF204" s="145" t="s">
        <v>1073</v>
      </c>
      <c r="BG204" s="145" t="s">
        <v>1073</v>
      </c>
      <c r="BH204" s="145" t="s">
        <v>1073</v>
      </c>
      <c r="BI204" s="145" t="s">
        <v>1073</v>
      </c>
      <c r="BJ204" s="145" t="s">
        <v>1073</v>
      </c>
      <c r="BK204" s="145" t="s">
        <v>1073</v>
      </c>
      <c r="BL204" s="145" t="s">
        <v>1073</v>
      </c>
      <c r="BM204" s="145" t="s">
        <v>1073</v>
      </c>
      <c r="BN204" s="145" t="s">
        <v>1073</v>
      </c>
      <c r="BO204" s="145" t="s">
        <v>1073</v>
      </c>
      <c r="BP204" s="145" t="s">
        <v>1073</v>
      </c>
      <c r="BQ204" s="145" t="s">
        <v>1073</v>
      </c>
      <c r="BR204" s="145" t="s">
        <v>1073</v>
      </c>
      <c r="BS204" s="145" t="s">
        <v>1073</v>
      </c>
      <c r="BT204" s="145" t="s">
        <v>1073</v>
      </c>
      <c r="BU204" s="145" t="s">
        <v>1073</v>
      </c>
      <c r="BV204" s="145" t="s">
        <v>1073</v>
      </c>
      <c r="BW204" s="145" t="s">
        <v>1073</v>
      </c>
      <c r="BX204" s="145" t="s">
        <v>1073</v>
      </c>
      <c r="BY204" s="277"/>
      <c r="BZ204" s="277"/>
      <c r="CA204" s="277"/>
      <c r="CB204" s="277"/>
      <c r="CC204" s="277"/>
      <c r="CD204" s="277"/>
      <c r="CE204" s="277"/>
      <c r="CF204" s="277"/>
      <c r="CG204" s="277"/>
      <c r="CH204" s="277"/>
    </row>
    <row r="205" spans="1:86" ht="15">
      <c r="A205" s="158" t="s">
        <v>171</v>
      </c>
      <c r="B205" s="157" t="s">
        <v>1073</v>
      </c>
      <c r="C205" s="157" t="s">
        <v>1073</v>
      </c>
      <c r="D205" s="157" t="s">
        <v>1073</v>
      </c>
      <c r="E205" s="157" t="s">
        <v>1073</v>
      </c>
      <c r="F205" s="157" t="s">
        <v>1073</v>
      </c>
      <c r="G205" s="157" t="s">
        <v>1073</v>
      </c>
      <c r="H205" s="157" t="s">
        <v>1073</v>
      </c>
      <c r="I205" s="157" t="s">
        <v>1073</v>
      </c>
      <c r="J205" s="157" t="s">
        <v>1073</v>
      </c>
      <c r="K205" s="157" t="s">
        <v>1073</v>
      </c>
      <c r="L205" s="157" t="s">
        <v>1073</v>
      </c>
      <c r="M205" s="157" t="s">
        <v>1073</v>
      </c>
      <c r="N205" s="157" t="s">
        <v>1073</v>
      </c>
      <c r="O205" s="159" t="s">
        <v>170</v>
      </c>
      <c r="P205" s="159" t="s">
        <v>170</v>
      </c>
      <c r="Q205" s="159" t="s">
        <v>170</v>
      </c>
      <c r="R205" s="159" t="s">
        <v>170</v>
      </c>
      <c r="S205" s="159" t="s">
        <v>170</v>
      </c>
      <c r="T205" s="159" t="s">
        <v>170</v>
      </c>
      <c r="U205" s="159" t="s">
        <v>170</v>
      </c>
      <c r="V205" s="159" t="s">
        <v>170</v>
      </c>
      <c r="W205" s="159" t="s">
        <v>170</v>
      </c>
      <c r="X205" s="159" t="s">
        <v>901</v>
      </c>
      <c r="Y205" s="159" t="s">
        <v>901</v>
      </c>
      <c r="Z205" s="159" t="s">
        <v>199</v>
      </c>
      <c r="AA205" s="159" t="s">
        <v>901</v>
      </c>
      <c r="AB205" s="159" t="s">
        <v>901</v>
      </c>
      <c r="AC205" s="159" t="s">
        <v>901</v>
      </c>
      <c r="AD205" s="159" t="s">
        <v>901</v>
      </c>
      <c r="AE205" s="159" t="s">
        <v>901</v>
      </c>
      <c r="AF205" s="159" t="s">
        <v>901</v>
      </c>
      <c r="AG205" s="159" t="s">
        <v>901</v>
      </c>
      <c r="AH205" s="159" t="s">
        <v>901</v>
      </c>
      <c r="AI205" s="159" t="s">
        <v>901</v>
      </c>
      <c r="AJ205" s="159" t="s">
        <v>901</v>
      </c>
      <c r="AK205" s="159" t="s">
        <v>901</v>
      </c>
      <c r="AL205" s="159" t="s">
        <v>901</v>
      </c>
      <c r="AM205" s="159" t="s">
        <v>901</v>
      </c>
      <c r="AN205" s="159" t="s">
        <v>901</v>
      </c>
      <c r="AO205" s="159" t="s">
        <v>901</v>
      </c>
      <c r="AP205" s="159" t="s">
        <v>901</v>
      </c>
      <c r="AQ205" s="159" t="s">
        <v>901</v>
      </c>
      <c r="AR205" s="159" t="s">
        <v>901</v>
      </c>
      <c r="AS205" s="159" t="s">
        <v>901</v>
      </c>
      <c r="AT205" s="159" t="s">
        <v>901</v>
      </c>
      <c r="AU205" s="159" t="s">
        <v>901</v>
      </c>
      <c r="AV205" s="159" t="s">
        <v>901</v>
      </c>
      <c r="AW205" s="159" t="s">
        <v>901</v>
      </c>
      <c r="AX205" s="159" t="s">
        <v>901</v>
      </c>
      <c r="AY205" s="159" t="s">
        <v>901</v>
      </c>
      <c r="AZ205" s="159" t="s">
        <v>901</v>
      </c>
      <c r="BA205" s="159" t="s">
        <v>901</v>
      </c>
      <c r="BB205" s="159" t="s">
        <v>901</v>
      </c>
      <c r="BC205" s="159" t="s">
        <v>901</v>
      </c>
      <c r="BD205" s="159" t="s">
        <v>901</v>
      </c>
      <c r="BE205" s="159" t="s">
        <v>901</v>
      </c>
      <c r="BF205" s="159" t="s">
        <v>901</v>
      </c>
      <c r="BG205" s="159" t="s">
        <v>901</v>
      </c>
      <c r="BH205" s="159" t="s">
        <v>901</v>
      </c>
      <c r="BI205" s="159" t="s">
        <v>901</v>
      </c>
      <c r="BJ205" s="159" t="s">
        <v>901</v>
      </c>
      <c r="BK205" s="159" t="s">
        <v>901</v>
      </c>
      <c r="BL205" s="159" t="s">
        <v>901</v>
      </c>
      <c r="BM205" s="159" t="s">
        <v>901</v>
      </c>
      <c r="BN205" s="159" t="s">
        <v>901</v>
      </c>
      <c r="BO205" s="159" t="s">
        <v>901</v>
      </c>
      <c r="BP205" s="159" t="s">
        <v>901</v>
      </c>
      <c r="BQ205" s="159" t="s">
        <v>901</v>
      </c>
      <c r="BR205" s="159" t="s">
        <v>901</v>
      </c>
      <c r="BS205" s="159" t="s">
        <v>901</v>
      </c>
      <c r="BT205" s="159" t="s">
        <v>901</v>
      </c>
      <c r="BU205" s="159" t="s">
        <v>901</v>
      </c>
      <c r="BV205" s="159" t="s">
        <v>901</v>
      </c>
      <c r="BW205" s="159" t="s">
        <v>901</v>
      </c>
      <c r="BX205" s="159" t="s">
        <v>901</v>
      </c>
      <c r="BY205" s="197"/>
      <c r="BZ205" s="197"/>
      <c r="CA205" s="197"/>
      <c r="CB205" s="197"/>
      <c r="CC205" s="197"/>
      <c r="CD205" s="197"/>
      <c r="CE205" s="197"/>
      <c r="CF205" s="197"/>
      <c r="CG205" s="197"/>
      <c r="CH205" s="197"/>
    </row>
    <row r="206" spans="1:100" ht="14.25">
      <c r="A206" s="216"/>
      <c r="B206" s="166" t="s">
        <v>462</v>
      </c>
      <c r="C206" s="166" t="s">
        <v>462</v>
      </c>
      <c r="D206" s="166" t="s">
        <v>462</v>
      </c>
      <c r="E206" s="166" t="s">
        <v>462</v>
      </c>
      <c r="F206" s="166" t="s">
        <v>462</v>
      </c>
      <c r="G206" s="166" t="s">
        <v>462</v>
      </c>
      <c r="H206" s="166" t="s">
        <v>462</v>
      </c>
      <c r="I206" s="166" t="s">
        <v>462</v>
      </c>
      <c r="J206" s="166" t="s">
        <v>462</v>
      </c>
      <c r="K206" s="166" t="s">
        <v>462</v>
      </c>
      <c r="L206" s="166" t="s">
        <v>462</v>
      </c>
      <c r="M206" s="166" t="s">
        <v>462</v>
      </c>
      <c r="N206" s="166" t="s">
        <v>462</v>
      </c>
      <c r="O206" s="166" t="s">
        <v>462</v>
      </c>
      <c r="P206" s="166" t="s">
        <v>462</v>
      </c>
      <c r="Q206" s="166" t="s">
        <v>462</v>
      </c>
      <c r="R206" s="166" t="s">
        <v>462</v>
      </c>
      <c r="S206" s="166" t="s">
        <v>462</v>
      </c>
      <c r="T206" s="166" t="s">
        <v>462</v>
      </c>
      <c r="U206" s="166" t="s">
        <v>462</v>
      </c>
      <c r="V206" s="166" t="s">
        <v>462</v>
      </c>
      <c r="W206" s="166" t="s">
        <v>462</v>
      </c>
      <c r="X206" s="166" t="s">
        <v>462</v>
      </c>
      <c r="Y206" s="166" t="s">
        <v>462</v>
      </c>
      <c r="Z206" s="166" t="s">
        <v>462</v>
      </c>
      <c r="AA206" s="166" t="s">
        <v>462</v>
      </c>
      <c r="AB206" s="166" t="s">
        <v>462</v>
      </c>
      <c r="AC206" s="166" t="s">
        <v>462</v>
      </c>
      <c r="AD206" s="166" t="s">
        <v>462</v>
      </c>
      <c r="AE206" s="166" t="s">
        <v>462</v>
      </c>
      <c r="AF206" s="166" t="s">
        <v>462</v>
      </c>
      <c r="AG206" s="166" t="s">
        <v>462</v>
      </c>
      <c r="AH206" s="166" t="s">
        <v>462</v>
      </c>
      <c r="AI206" s="166" t="s">
        <v>462</v>
      </c>
      <c r="AJ206" s="166" t="s">
        <v>462</v>
      </c>
      <c r="AK206" s="166" t="s">
        <v>462</v>
      </c>
      <c r="AL206" s="166" t="s">
        <v>462</v>
      </c>
      <c r="AM206" s="166" t="s">
        <v>462</v>
      </c>
      <c r="AN206" s="166" t="s">
        <v>462</v>
      </c>
      <c r="AO206" s="166" t="s">
        <v>462</v>
      </c>
      <c r="AP206" s="166" t="s">
        <v>462</v>
      </c>
      <c r="AQ206" s="166" t="s">
        <v>462</v>
      </c>
      <c r="AR206" s="166" t="s">
        <v>462</v>
      </c>
      <c r="AS206" s="166" t="s">
        <v>462</v>
      </c>
      <c r="AT206" s="166" t="s">
        <v>462</v>
      </c>
      <c r="AU206" s="166" t="s">
        <v>462</v>
      </c>
      <c r="AV206" s="166" t="s">
        <v>462</v>
      </c>
      <c r="AW206" s="166" t="s">
        <v>462</v>
      </c>
      <c r="AX206" s="166" t="s">
        <v>462</v>
      </c>
      <c r="AY206" s="166" t="s">
        <v>462</v>
      </c>
      <c r="AZ206" s="166" t="s">
        <v>462</v>
      </c>
      <c r="BA206" s="166" t="s">
        <v>462</v>
      </c>
      <c r="BB206" s="166" t="s">
        <v>462</v>
      </c>
      <c r="BC206" s="166" t="s">
        <v>462</v>
      </c>
      <c r="BD206" s="166" t="s">
        <v>462</v>
      </c>
      <c r="BE206" s="166" t="s">
        <v>462</v>
      </c>
      <c r="BF206" s="166" t="s">
        <v>462</v>
      </c>
      <c r="BG206" s="166" t="s">
        <v>462</v>
      </c>
      <c r="BH206" s="166" t="s">
        <v>462</v>
      </c>
      <c r="BI206" s="166" t="s">
        <v>462</v>
      </c>
      <c r="BJ206" s="166" t="s">
        <v>462</v>
      </c>
      <c r="BK206" s="166" t="s">
        <v>462</v>
      </c>
      <c r="BL206" s="166" t="s">
        <v>462</v>
      </c>
      <c r="BM206" s="166" t="s">
        <v>462</v>
      </c>
      <c r="BN206" s="166" t="s">
        <v>462</v>
      </c>
      <c r="BO206" s="166" t="s">
        <v>462</v>
      </c>
      <c r="BP206" s="166" t="s">
        <v>462</v>
      </c>
      <c r="BQ206" s="166" t="s">
        <v>462</v>
      </c>
      <c r="BR206" s="166" t="s">
        <v>462</v>
      </c>
      <c r="BS206" s="166" t="s">
        <v>462</v>
      </c>
      <c r="BT206" s="166" t="s">
        <v>462</v>
      </c>
      <c r="BU206" s="166" t="s">
        <v>462</v>
      </c>
      <c r="BV206" s="166" t="s">
        <v>462</v>
      </c>
      <c r="BW206" s="166" t="s">
        <v>462</v>
      </c>
      <c r="BX206" s="166" t="s">
        <v>462</v>
      </c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66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</row>
    <row r="207" spans="1:86" ht="14.25">
      <c r="A207" s="216"/>
      <c r="B207" s="166" t="s">
        <v>227</v>
      </c>
      <c r="C207" s="166" t="s">
        <v>227</v>
      </c>
      <c r="D207" s="166" t="s">
        <v>227</v>
      </c>
      <c r="E207" s="166" t="s">
        <v>227</v>
      </c>
      <c r="F207" s="166" t="s">
        <v>227</v>
      </c>
      <c r="G207" s="166" t="s">
        <v>227</v>
      </c>
      <c r="H207" s="166" t="s">
        <v>227</v>
      </c>
      <c r="I207" s="166" t="s">
        <v>227</v>
      </c>
      <c r="J207" s="166" t="s">
        <v>227</v>
      </c>
      <c r="K207" s="166" t="s">
        <v>227</v>
      </c>
      <c r="L207" s="166" t="s">
        <v>227</v>
      </c>
      <c r="M207" s="166" t="s">
        <v>227</v>
      </c>
      <c r="N207" s="166" t="s">
        <v>227</v>
      </c>
      <c r="O207" s="166" t="s">
        <v>227</v>
      </c>
      <c r="P207" s="166" t="s">
        <v>227</v>
      </c>
      <c r="Q207" s="166" t="s">
        <v>227</v>
      </c>
      <c r="R207" s="166" t="s">
        <v>227</v>
      </c>
      <c r="S207" s="166" t="s">
        <v>227</v>
      </c>
      <c r="T207" s="166" t="s">
        <v>227</v>
      </c>
      <c r="U207" s="166" t="s">
        <v>227</v>
      </c>
      <c r="V207" s="166" t="s">
        <v>227</v>
      </c>
      <c r="W207" s="166" t="s">
        <v>227</v>
      </c>
      <c r="X207" s="166" t="s">
        <v>227</v>
      </c>
      <c r="Y207" s="166" t="s">
        <v>227</v>
      </c>
      <c r="Z207" s="166" t="s">
        <v>227</v>
      </c>
      <c r="AA207" s="166" t="s">
        <v>227</v>
      </c>
      <c r="AB207" s="166" t="s">
        <v>227</v>
      </c>
      <c r="AC207" s="166" t="s">
        <v>227</v>
      </c>
      <c r="AD207" s="166" t="s">
        <v>227</v>
      </c>
      <c r="AE207" s="166" t="s">
        <v>227</v>
      </c>
      <c r="AF207" s="166" t="s">
        <v>227</v>
      </c>
      <c r="AG207" s="166" t="s">
        <v>227</v>
      </c>
      <c r="AH207" s="166" t="s">
        <v>227</v>
      </c>
      <c r="AI207" s="166" t="s">
        <v>227</v>
      </c>
      <c r="AJ207" s="166" t="s">
        <v>227</v>
      </c>
      <c r="AK207" s="166" t="s">
        <v>227</v>
      </c>
      <c r="AL207" s="166" t="s">
        <v>227</v>
      </c>
      <c r="AM207" s="166" t="s">
        <v>227</v>
      </c>
      <c r="AN207" s="166" t="s">
        <v>227</v>
      </c>
      <c r="AO207" s="166" t="s">
        <v>227</v>
      </c>
      <c r="AP207" s="166" t="s">
        <v>227</v>
      </c>
      <c r="AQ207" s="166" t="s">
        <v>227</v>
      </c>
      <c r="AR207" s="166" t="s">
        <v>227</v>
      </c>
      <c r="AS207" s="166" t="s">
        <v>227</v>
      </c>
      <c r="AT207" s="166" t="s">
        <v>227</v>
      </c>
      <c r="AU207" s="166" t="s">
        <v>227</v>
      </c>
      <c r="AV207" s="166" t="s">
        <v>227</v>
      </c>
      <c r="AW207" s="166" t="s">
        <v>227</v>
      </c>
      <c r="AX207" s="166" t="s">
        <v>227</v>
      </c>
      <c r="AY207" s="166" t="s">
        <v>227</v>
      </c>
      <c r="AZ207" s="166" t="s">
        <v>227</v>
      </c>
      <c r="BA207" s="166" t="s">
        <v>227</v>
      </c>
      <c r="BB207" s="166" t="s">
        <v>227</v>
      </c>
      <c r="BC207" s="166" t="s">
        <v>227</v>
      </c>
      <c r="BD207" s="166" t="s">
        <v>227</v>
      </c>
      <c r="BE207" s="166" t="s">
        <v>227</v>
      </c>
      <c r="BF207" s="166" t="s">
        <v>227</v>
      </c>
      <c r="BG207" s="167" t="s">
        <v>1242</v>
      </c>
      <c r="BH207" s="166" t="s">
        <v>227</v>
      </c>
      <c r="BI207" s="166" t="s">
        <v>227</v>
      </c>
      <c r="BJ207" s="166" t="s">
        <v>227</v>
      </c>
      <c r="BK207" s="167" t="s">
        <v>1242</v>
      </c>
      <c r="BL207" s="167" t="s">
        <v>1242</v>
      </c>
      <c r="BM207" s="167" t="s">
        <v>1242</v>
      </c>
      <c r="BN207" s="167" t="s">
        <v>1242</v>
      </c>
      <c r="BO207" s="167" t="s">
        <v>1242</v>
      </c>
      <c r="BP207" s="166" t="s">
        <v>227</v>
      </c>
      <c r="BQ207" s="167" t="s">
        <v>1242</v>
      </c>
      <c r="BR207" s="167" t="s">
        <v>1242</v>
      </c>
      <c r="BS207" s="167" t="s">
        <v>1242</v>
      </c>
      <c r="BT207" s="167" t="s">
        <v>1242</v>
      </c>
      <c r="BU207" s="166" t="s">
        <v>227</v>
      </c>
      <c r="BV207" s="167" t="s">
        <v>1242</v>
      </c>
      <c r="BW207" s="167" t="s">
        <v>1242</v>
      </c>
      <c r="BX207" s="167" t="s">
        <v>1242</v>
      </c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7"/>
    </row>
    <row r="208" spans="1:86" s="256" customFormat="1" ht="14.25">
      <c r="A208" s="255"/>
      <c r="B208" s="163" t="str">
        <f>IF(Configurator!$D$29=0," (2-pole) "," (1-pole) ")</f>
        <v> (2-pole) </v>
      </c>
      <c r="C208" s="163" t="str">
        <f>IF(Configurator!$D$29=0," (2-pole) "," (1-pole) ")</f>
        <v> (2-pole) </v>
      </c>
      <c r="D208" s="163" t="str">
        <f>IF(Configurator!$D$29=0," (2-pole) "," (1-pole) ")</f>
        <v> (2-pole) </v>
      </c>
      <c r="E208" s="163" t="str">
        <f>IF(Configurator!$D$29=0," (2-pole) "," (1-pole) ")</f>
        <v> (2-pole) </v>
      </c>
      <c r="F208" s="163" t="str">
        <f>IF(Configurator!$D$29=0," (2-pole) "," (1-pole) ")</f>
        <v> (2-pole) </v>
      </c>
      <c r="G208" s="163" t="str">
        <f>IF(Configurator!$D$29=0," (2-pole) "," (1-pole) ")</f>
        <v> (2-pole) </v>
      </c>
      <c r="H208" s="163" t="str">
        <f>IF(Configurator!$D$29=0," (2-pole) "," (1-pole) ")</f>
        <v> (2-pole) </v>
      </c>
      <c r="I208" s="163" t="str">
        <f>IF(Configurator!$D$29=0," (2-pole) "," (1-pole) ")</f>
        <v> (2-pole) </v>
      </c>
      <c r="J208" s="163" t="str">
        <f>IF(Configurator!$D$29=0," (2-pole) "," (1-pole) ")</f>
        <v> (2-pole) </v>
      </c>
      <c r="K208" s="163" t="str">
        <f>IF(Configurator!$D$29=0," (2-pole) "," (1-pole) ")</f>
        <v> (2-pole) </v>
      </c>
      <c r="L208" s="163" t="str">
        <f>IF(Configurator!$D$29=0," (2-pole) "," (1-pole) ")</f>
        <v> (2-pole) </v>
      </c>
      <c r="M208" s="163" t="str">
        <f>IF(Configurator!$D$29=0," (2-pole) "," (1-pole) ")</f>
        <v> (2-pole) </v>
      </c>
      <c r="N208" s="163" t="str">
        <f>IF(Configurator!$D$29=0," (2-pole) "," (1-pole) ")</f>
        <v> (2-pole) </v>
      </c>
      <c r="O208" s="163" t="str">
        <f>IF(Configurator!$D$29=0," (2-pole) "," (1-pole) ")</f>
        <v> (2-pole) </v>
      </c>
      <c r="P208" s="163" t="str">
        <f>IF(Configurator!$D$29=0," (2-pole) "," (1-pole) ")</f>
        <v> (2-pole) </v>
      </c>
      <c r="Q208" s="163" t="str">
        <f>IF(Configurator!$D$29=0," (2-pole) "," (1-pole) ")</f>
        <v> (2-pole) </v>
      </c>
      <c r="R208" s="163" t="str">
        <f>IF(Configurator!$D$29=0," (2-pole) "," (1-pole) ")</f>
        <v> (2-pole) </v>
      </c>
      <c r="S208" s="163" t="str">
        <f>IF(Configurator!$D$29=0," (2-pole) "," (1-pole) ")</f>
        <v> (2-pole) </v>
      </c>
      <c r="T208" s="163" t="str">
        <f>IF(Configurator!$D$29=0," (2-pole) "," (1-pole) ")</f>
        <v> (2-pole) </v>
      </c>
      <c r="U208" s="163" t="str">
        <f>IF(Configurator!$D$29=0," (2-pole) "," (1-pole) ")</f>
        <v> (2-pole) </v>
      </c>
      <c r="V208" s="163" t="str">
        <f>IF(Configurator!$D$29=0," (2-pole) "," (1-pole) ")</f>
        <v> (2-pole) </v>
      </c>
      <c r="W208" s="163" t="str">
        <f>IF(Configurator!$D$29=0," (2-pole) "," (1-pole) ")</f>
        <v> (2-pole) </v>
      </c>
      <c r="X208" s="163" t="str">
        <f>IF(Configurator!$D$29=0," (2-pole) "," (1-pole) ")</f>
        <v> (2-pole) </v>
      </c>
      <c r="Y208" s="163" t="str">
        <f>IF(Configurator!$D$29=0," (2-pole) "," (1-pole) ")</f>
        <v> (2-pole) </v>
      </c>
      <c r="Z208" s="163" t="str">
        <f>IF(Configurator!$D$29=0," (2-pole) "," (1-pole) ")</f>
        <v> (2-pole) </v>
      </c>
      <c r="AA208" s="163" t="str">
        <f>IF(Configurator!$D$29=0," (2-pole) "," (1-pole) ")</f>
        <v> (2-pole) </v>
      </c>
      <c r="AB208" s="163" t="str">
        <f>IF(Configurator!$D$29=0," (2-pole) "," (1-pole) ")</f>
        <v> (2-pole) </v>
      </c>
      <c r="AC208" s="163" t="str">
        <f>IF(Configurator!$D$29=0," (2-pole) "," (1-pole) ")</f>
        <v> (2-pole) </v>
      </c>
      <c r="AD208" s="163" t="str">
        <f>IF(Configurator!$D$29=0," (2-pole) "," (1-pole) ")</f>
        <v> (2-pole) </v>
      </c>
      <c r="AE208" s="163" t="str">
        <f>IF(Configurator!$D$29=0," (2-pole) "," (1-pole) ")</f>
        <v> (2-pole) </v>
      </c>
      <c r="AF208" s="163" t="str">
        <f>IF(Configurator!$D$29=0," (2-pole) "," (1-pole) ")</f>
        <v> (2-pole) </v>
      </c>
      <c r="AG208" s="163" t="str">
        <f>IF(Configurator!$D$29=0," (2-pole) "," (1-pole) ")</f>
        <v> (2-pole) </v>
      </c>
      <c r="AH208" s="163" t="str">
        <f>IF(Configurator!$D$29=0," (2-pole) "," (1-pole) ")</f>
        <v> (2-pole) </v>
      </c>
      <c r="AI208" s="163" t="str">
        <f>IF(Configurator!$D$29=0," (2-pole) "," (1-pole) ")</f>
        <v> (2-pole) </v>
      </c>
      <c r="AJ208" s="163" t="str">
        <f>IF(Configurator!$D$29=0," (2-pole) "," (1-pole) ")</f>
        <v> (2-pole) </v>
      </c>
      <c r="AK208" s="163" t="str">
        <f>IF(Configurator!$D$29=0," (2-pole) "," (1-pole) ")</f>
        <v> (2-pole) </v>
      </c>
      <c r="AL208" s="163" t="str">
        <f>IF(Configurator!$D$29=0," (2-pole) "," (1-pole) ")</f>
        <v> (2-pole) </v>
      </c>
      <c r="AM208" s="163" t="str">
        <f>IF(Configurator!$D$29=0," (2-pole) "," (1-pole) ")</f>
        <v> (2-pole) </v>
      </c>
      <c r="AN208" s="163" t="str">
        <f>IF(Configurator!$D$29=0," (2-pole) "," (1-pole) ")</f>
        <v> (2-pole) </v>
      </c>
      <c r="AO208" s="163" t="str">
        <f>IF(Configurator!$D$29=0," (2-pole) "," (1-pole) ")</f>
        <v> (2-pole) </v>
      </c>
      <c r="AP208" s="163" t="str">
        <f>IF(Configurator!$D$29=0," (2-pole) "," (1-pole) ")</f>
        <v> (2-pole) </v>
      </c>
      <c r="AQ208" s="163" t="str">
        <f>IF(Configurator!$D$29=0," (2-pole) "," (1-pole) ")</f>
        <v> (2-pole) </v>
      </c>
      <c r="AR208" s="163" t="str">
        <f>IF(Configurator!$D$29=0," (2-pole) "," (1-pole) ")</f>
        <v> (2-pole) </v>
      </c>
      <c r="AS208" s="163" t="str">
        <f>IF(Configurator!$D$29=0," (2-pole) "," (1-pole) ")</f>
        <v> (2-pole) </v>
      </c>
      <c r="AT208" s="163" t="str">
        <f>IF(Configurator!$D$29=0," (2-pole) "," (1-pole) ")</f>
        <v> (2-pole) </v>
      </c>
      <c r="AU208" s="163" t="str">
        <f>IF(Configurator!$D$29=0," (2-pole) "," (1-pole) ")</f>
        <v> (2-pole) </v>
      </c>
      <c r="AV208" s="163" t="str">
        <f>IF(Configurator!$D$29=0," (2-pole) "," (1-pole) ")</f>
        <v> (2-pole) </v>
      </c>
      <c r="AW208" s="163" t="str">
        <f>IF(Configurator!$D$29=0," (2-pole) "," (1-pole) ")</f>
        <v> (2-pole) </v>
      </c>
      <c r="AX208" s="163" t="str">
        <f>IF(Configurator!$D$29=0," (2-pole) "," (1-pole) ")</f>
        <v> (2-pole) </v>
      </c>
      <c r="AY208" s="163" t="str">
        <f>IF(Configurator!$D$29=0," (2-pole) "," (1-pole) ")</f>
        <v> (2-pole) </v>
      </c>
      <c r="AZ208" s="163" t="str">
        <f>IF(Configurator!$D$29=0," (2-pole) "," (1-pole) ")</f>
        <v> (2-pole) </v>
      </c>
      <c r="BA208" s="163" t="str">
        <f>IF(Configurator!$D$29=0," (2-pole) "," (1-pole) ")</f>
        <v> (2-pole) </v>
      </c>
      <c r="BB208" s="163" t="str">
        <f>IF(Configurator!$D$29=0," (2-pole) "," (1-pole) ")</f>
        <v> (2-pole) </v>
      </c>
      <c r="BC208" s="163" t="str">
        <f>IF(Configurator!$D$29=0," (2-pole) "," (1-pole) ")</f>
        <v> (2-pole) </v>
      </c>
      <c r="BD208" s="163" t="str">
        <f>IF(Configurator!$D$29=0," (2-pole) "," (1-pole) ")</f>
        <v> (2-pole) </v>
      </c>
      <c r="BE208" s="163" t="str">
        <f>IF(Configurator!$D$29=0," (2-pole) "," (1-pole) ")</f>
        <v> (2-pole) </v>
      </c>
      <c r="BF208" s="163" t="str">
        <f>IF(Configurator!$D$29=0," (2-pole) "," (1-pole) ")</f>
        <v> (2-pole) </v>
      </c>
      <c r="BG208" s="163" t="str">
        <f>IF(Configurator!$D$29=0," (2-pole) "," (1-pole) ")</f>
        <v> (2-pole) </v>
      </c>
      <c r="BH208" s="163" t="str">
        <f>IF(Configurator!$D$29=0," (2-pole) "," (1-pole) ")</f>
        <v> (2-pole) </v>
      </c>
      <c r="BI208" s="163" t="str">
        <f>IF(Configurator!$D$29=0," (2-pole) "," (1-pole) ")</f>
        <v> (2-pole) </v>
      </c>
      <c r="BJ208" s="163" t="str">
        <f>IF(Configurator!$D$29=0," (2-pole) "," (1-pole) ")</f>
        <v> (2-pole) </v>
      </c>
      <c r="BK208" s="163" t="str">
        <f>IF(Configurator!$D$29=0," (2-pole) "," (1-pole) ")</f>
        <v> (2-pole) </v>
      </c>
      <c r="BL208" s="163" t="str">
        <f>IF(Configurator!$D$29=0," (2-pole) "," (1-pole) ")</f>
        <v> (2-pole) </v>
      </c>
      <c r="BM208" s="163" t="str">
        <f>IF(Configurator!$D$29=0," (2-pole) "," (1-pole) ")</f>
        <v> (2-pole) </v>
      </c>
      <c r="BN208" s="163" t="str">
        <f>IF(Configurator!$D$29=0," (2-pole) "," (1-pole) ")</f>
        <v> (2-pole) </v>
      </c>
      <c r="BO208" s="163" t="str">
        <f>IF(Configurator!$D$29=0," (2-pole) "," (1-pole) ")</f>
        <v> (2-pole) </v>
      </c>
      <c r="BP208" s="163" t="str">
        <f>IF(Configurator!$D$29=0," (2-pole) "," (1-pole) ")</f>
        <v> (2-pole) </v>
      </c>
      <c r="BQ208" s="163" t="str">
        <f>IF(Configurator!$D$29=0," (2-pole) "," (1-pole) ")</f>
        <v> (2-pole) </v>
      </c>
      <c r="BR208" s="163" t="str">
        <f>IF(Configurator!$D$29=0," (2-pole) "," (1-pole) ")</f>
        <v> (2-pole) </v>
      </c>
      <c r="BS208" s="163" t="str">
        <f>IF(Configurator!$D$29=0," (2-pole) "," (1-pole) ")</f>
        <v> (2-pole) </v>
      </c>
      <c r="BT208" s="163" t="str">
        <f>IF(Configurator!$D$29=0," (2-pole) "," (1-pole) ")</f>
        <v> (2-pole) </v>
      </c>
      <c r="BU208" s="163" t="str">
        <f>IF(Configurator!$D$29=0," (2-pole) "," (1-pole) ")</f>
        <v> (2-pole) </v>
      </c>
      <c r="BV208" s="163" t="str">
        <f>IF(Configurator!$D$29=0," (2-pole) "," (1-pole) ")</f>
        <v> (2-pole) </v>
      </c>
      <c r="BW208" s="163" t="str">
        <f>IF(Configurator!$D$29=0," (2-pole) "," (1-pole) ")</f>
        <v> (2-pole) </v>
      </c>
      <c r="BX208" s="163" t="str">
        <f>IF(Configurator!$D$29=0," (2-pole) "," (1-pole) ")</f>
        <v> (2-pole) </v>
      </c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</row>
    <row r="209" spans="1:86" ht="14.25">
      <c r="A209" s="216"/>
      <c r="B209" s="197" t="s">
        <v>260</v>
      </c>
      <c r="C209" s="197" t="s">
        <v>260</v>
      </c>
      <c r="D209" s="197" t="s">
        <v>260</v>
      </c>
      <c r="E209" s="197" t="s">
        <v>260</v>
      </c>
      <c r="F209" s="197" t="s">
        <v>260</v>
      </c>
      <c r="G209" s="197" t="s">
        <v>260</v>
      </c>
      <c r="H209" s="197" t="s">
        <v>260</v>
      </c>
      <c r="I209" s="197" t="s">
        <v>260</v>
      </c>
      <c r="J209" s="197" t="s">
        <v>260</v>
      </c>
      <c r="K209" s="197" t="s">
        <v>260</v>
      </c>
      <c r="L209" s="197" t="s">
        <v>260</v>
      </c>
      <c r="M209" s="197" t="s">
        <v>260</v>
      </c>
      <c r="N209" s="197" t="s">
        <v>260</v>
      </c>
      <c r="O209" s="197" t="s">
        <v>260</v>
      </c>
      <c r="P209" s="197" t="s">
        <v>260</v>
      </c>
      <c r="Q209" s="197" t="s">
        <v>260</v>
      </c>
      <c r="R209" s="197" t="s">
        <v>260</v>
      </c>
      <c r="S209" s="197" t="s">
        <v>260</v>
      </c>
      <c r="T209" s="197" t="s">
        <v>260</v>
      </c>
      <c r="U209" s="197" t="s">
        <v>260</v>
      </c>
      <c r="V209" s="197" t="s">
        <v>260</v>
      </c>
      <c r="W209" s="197" t="s">
        <v>260</v>
      </c>
      <c r="X209" s="197" t="s">
        <v>260</v>
      </c>
      <c r="Y209" s="197" t="s">
        <v>260</v>
      </c>
      <c r="Z209" s="197" t="s">
        <v>260</v>
      </c>
      <c r="AA209" s="197" t="s">
        <v>260</v>
      </c>
      <c r="AB209" s="197" t="s">
        <v>260</v>
      </c>
      <c r="AC209" s="197" t="s">
        <v>260</v>
      </c>
      <c r="AD209" s="197" t="s">
        <v>260</v>
      </c>
      <c r="AE209" s="197" t="s">
        <v>260</v>
      </c>
      <c r="AF209" s="197" t="s">
        <v>260</v>
      </c>
      <c r="AG209" s="197" t="s">
        <v>260</v>
      </c>
      <c r="AH209" s="197" t="s">
        <v>260</v>
      </c>
      <c r="AI209" s="197" t="s">
        <v>260</v>
      </c>
      <c r="AJ209" s="197" t="s">
        <v>260</v>
      </c>
      <c r="AK209" s="197" t="s">
        <v>260</v>
      </c>
      <c r="AL209" s="197" t="s">
        <v>260</v>
      </c>
      <c r="AM209" s="197" t="s">
        <v>260</v>
      </c>
      <c r="AN209" s="197" t="s">
        <v>260</v>
      </c>
      <c r="AO209" s="197" t="s">
        <v>260</v>
      </c>
      <c r="AP209" s="197" t="s">
        <v>260</v>
      </c>
      <c r="AQ209" s="197" t="s">
        <v>260</v>
      </c>
      <c r="AR209" s="197" t="s">
        <v>260</v>
      </c>
      <c r="AS209" s="197" t="s">
        <v>260</v>
      </c>
      <c r="AT209" s="197" t="s">
        <v>260</v>
      </c>
      <c r="AU209" s="197" t="s">
        <v>260</v>
      </c>
      <c r="AV209" s="197" t="s">
        <v>260</v>
      </c>
      <c r="AW209" s="197" t="s">
        <v>260</v>
      </c>
      <c r="AX209" s="197" t="s">
        <v>260</v>
      </c>
      <c r="AY209" s="197" t="s">
        <v>260</v>
      </c>
      <c r="AZ209" s="197" t="s">
        <v>260</v>
      </c>
      <c r="BA209" s="197" t="s">
        <v>260</v>
      </c>
      <c r="BB209" s="197" t="s">
        <v>260</v>
      </c>
      <c r="BC209" s="197" t="s">
        <v>260</v>
      </c>
      <c r="BD209" s="197" t="s">
        <v>260</v>
      </c>
      <c r="BE209" s="197" t="s">
        <v>260</v>
      </c>
      <c r="BF209" s="197" t="s">
        <v>260</v>
      </c>
      <c r="BG209" s="197" t="s">
        <v>260</v>
      </c>
      <c r="BH209" s="197" t="s">
        <v>260</v>
      </c>
      <c r="BI209" s="197" t="s">
        <v>260</v>
      </c>
      <c r="BJ209" s="197" t="s">
        <v>260</v>
      </c>
      <c r="BK209" s="197" t="s">
        <v>260</v>
      </c>
      <c r="BL209" s="197" t="s">
        <v>260</v>
      </c>
      <c r="BM209" s="197" t="s">
        <v>260</v>
      </c>
      <c r="BN209" s="197" t="s">
        <v>260</v>
      </c>
      <c r="BO209" s="197" t="s">
        <v>260</v>
      </c>
      <c r="BP209" s="197" t="s">
        <v>260</v>
      </c>
      <c r="BQ209" s="197" t="s">
        <v>260</v>
      </c>
      <c r="BR209" s="197" t="s">
        <v>260</v>
      </c>
      <c r="BS209" s="197" t="s">
        <v>260</v>
      </c>
      <c r="BT209" s="197" t="s">
        <v>260</v>
      </c>
      <c r="BU209" s="197" t="s">
        <v>260</v>
      </c>
      <c r="BV209" s="197" t="s">
        <v>260</v>
      </c>
      <c r="BW209" s="197" t="s">
        <v>260</v>
      </c>
      <c r="BX209" s="197" t="s">
        <v>260</v>
      </c>
      <c r="BY209" s="197"/>
      <c r="BZ209" s="197"/>
      <c r="CA209" s="197"/>
      <c r="CB209" s="197"/>
      <c r="CC209" s="197"/>
      <c r="CD209" s="197"/>
      <c r="CE209" s="197"/>
      <c r="CF209" s="197"/>
      <c r="CG209" s="197"/>
      <c r="CH209" s="197"/>
    </row>
    <row r="210" spans="1:86" ht="14.25">
      <c r="A210" s="216"/>
      <c r="B210" s="138" t="str">
        <f>IF(AND(Configurator!$D$24&gt;"H",Configurator!$T$5="6"),"E9651367","E9650564")</f>
        <v>E9650564</v>
      </c>
      <c r="C210" s="138" t="str">
        <f>IF(AND(Configurator!$D$24&gt;"H",Configurator!$T$5="6"),"E9651367","E9650564")</f>
        <v>E9650564</v>
      </c>
      <c r="D210" s="138" t="str">
        <f>IF(AND(Configurator!$D$24&gt;"H",Configurator!$T$5="6"),"E9651367","E9650564")</f>
        <v>E9650564</v>
      </c>
      <c r="E210" s="138" t="str">
        <f>IF(AND(Configurator!$D$24&gt;"H",Configurator!$T$5="6"),"E9651367","E9650564")</f>
        <v>E9650564</v>
      </c>
      <c r="F210" s="138" t="str">
        <f>IF(AND(Configurator!$D$24&gt;"H",Configurator!$T$5="6"),"E9651367","E9650564")</f>
        <v>E9650564</v>
      </c>
      <c r="G210" s="138" t="str">
        <f>IF(AND(Configurator!$D$24&gt;"H",Configurator!$T$5="6"),"E9651367","E9650564")</f>
        <v>E9650564</v>
      </c>
      <c r="H210" s="138" t="str">
        <f>IF(AND(Configurator!$D$24&gt;"H",Configurator!$T$5="6"),"E9651367","E9650564")</f>
        <v>E9650564</v>
      </c>
      <c r="I210" s="138" t="str">
        <f>IF(AND(Configurator!$D$24&gt;"H",Configurator!$T$5="6"),"E9651367","E9650564")</f>
        <v>E9650564</v>
      </c>
      <c r="J210" s="138" t="str">
        <f>IF(AND(Configurator!$D$24&gt;"H",Configurator!$T$5="6"),"E9651367","E9650564")</f>
        <v>E9650564</v>
      </c>
      <c r="K210" s="138" t="str">
        <f>IF(AND(Configurator!$D$24&gt;"H",Configurator!$T$5="6"),"E9651367","E9650564")</f>
        <v>E9650564</v>
      </c>
      <c r="L210" s="138" t="str">
        <f>IF(AND(Configurator!$D$24&gt;"H",Configurator!$T$5="6"),"E9651367","E9650564")</f>
        <v>E9650564</v>
      </c>
      <c r="M210" s="138" t="str">
        <f>IF(AND(Configurator!$D$24&gt;"H",Configurator!$T$5="6"),"E9651367","E9650564")</f>
        <v>E9650564</v>
      </c>
      <c r="N210" s="138" t="str">
        <f>IF(AND(Configurator!$D$24&gt;"H",Configurator!$T$5="6"),"E9651367","E9650564")</f>
        <v>E9650564</v>
      </c>
      <c r="O210" s="138" t="str">
        <f>IF(AND(Configurator!$D$24&gt;"H",Configurator!$T$5="6"),"E9651367","E9650564")</f>
        <v>E9650564</v>
      </c>
      <c r="P210" s="138" t="str">
        <f>IF(AND(Configurator!$D$24&gt;"H",Configurator!$T$5="6"),"E9651367","E9650564")</f>
        <v>E9650564</v>
      </c>
      <c r="Q210" s="138" t="str">
        <f>IF(AND(Configurator!$D$24&gt;"H",Configurator!$T$5="6"),"E9651367","E9650564")</f>
        <v>E9650564</v>
      </c>
      <c r="R210" s="138" t="str">
        <f>IF(AND(Configurator!$D$24&gt;"H",Configurator!$T$5="6"),"E9651367","E9650564")</f>
        <v>E9650564</v>
      </c>
      <c r="S210" s="138" t="str">
        <f>IF(AND(Configurator!$D$24&gt;"H",Configurator!$T$5="6"),"E9651367","E9650564")</f>
        <v>E9650564</v>
      </c>
      <c r="T210" s="138" t="str">
        <f>IF(AND(Configurator!$D$24&gt;"H",Configurator!$T$5="6"),"E9651367","E9650564")</f>
        <v>E9650564</v>
      </c>
      <c r="U210" s="138" t="str">
        <f>IF(AND(Configurator!$D$24&gt;"H",Configurator!$T$5="6"),"E9651367","E9650564")</f>
        <v>E9650564</v>
      </c>
      <c r="V210" s="138" t="str">
        <f>IF(AND(Configurator!$D$24&gt;"H",Configurator!$T$5="6"),"E9651367","E9650564")</f>
        <v>E9650564</v>
      </c>
      <c r="W210" s="138" t="str">
        <f>IF(AND(Configurator!$D$24&gt;"H",Configurator!$T$5="6"),"E9651367","E9650564")</f>
        <v>E9650564</v>
      </c>
      <c r="X210" s="138" t="str">
        <f>IF(AND(Configurator!$D$24&gt;"H",Configurator!$T$5="6"),"E9651367","E9650564")</f>
        <v>E9650564</v>
      </c>
      <c r="Y210" s="138" t="str">
        <f>IF(AND(Configurator!$D$24&gt;"H",Configurator!$T$5="6"),"E9651367","E9650564")</f>
        <v>E9650564</v>
      </c>
      <c r="Z210" s="138" t="str">
        <f>IF(AND(Configurator!$D$24&gt;"H",Configurator!$T$5="6"),"E9651367","E9650564")</f>
        <v>E9650564</v>
      </c>
      <c r="AA210" s="138" t="str">
        <f>IF(AND(Configurator!$D$24&gt;"H",Configurator!$T$5="6"),"E9651367","E9650564")</f>
        <v>E9650564</v>
      </c>
      <c r="AB210" s="138" t="str">
        <f>IF(AND(Configurator!$D$24&gt;"H",Configurator!$T$5="6"),"E9651367","E9650564")</f>
        <v>E9650564</v>
      </c>
      <c r="AC210" s="138" t="str">
        <f>IF(AND(Configurator!$D$24&gt;"H",Configurator!$T$5="6"),"E9651367","E9650564")</f>
        <v>E9650564</v>
      </c>
      <c r="AD210" s="138" t="str">
        <f>IF(AND(Configurator!$D$24&gt;"H",Configurator!$T$5="6"),"E9651367","E9650564")</f>
        <v>E9650564</v>
      </c>
      <c r="AE210" s="138" t="str">
        <f>IF(AND(Configurator!$D$24&gt;"H",Configurator!$T$5="6"),"E9651367","E9650564")</f>
        <v>E9650564</v>
      </c>
      <c r="AF210" s="138" t="str">
        <f>IF(AND(Configurator!$D$24&gt;"H",Configurator!$T$5="6"),"E9651367","E9650564")</f>
        <v>E9650564</v>
      </c>
      <c r="AG210" s="138" t="str">
        <f>IF(AND(Configurator!$D$24&gt;"H",Configurator!$T$5="6"),"E9651367","E9650564")</f>
        <v>E9650564</v>
      </c>
      <c r="AH210" s="138" t="str">
        <f>IF(AND(Configurator!$D$24&gt;"H",Configurator!$T$5="6"),"E9651367","E9650564")</f>
        <v>E9650564</v>
      </c>
      <c r="AI210" s="138" t="str">
        <f>IF(AND(Configurator!$D$24&gt;"H",Configurator!$T$5="6"),"E9651367","E9650564")</f>
        <v>E9650564</v>
      </c>
      <c r="AJ210" s="138" t="str">
        <f>IF(AND(Configurator!$D$24&gt;"H",Configurator!$T$5="6"),"E9651367","E9650564")</f>
        <v>E9650564</v>
      </c>
      <c r="AK210" s="138" t="str">
        <f>IF(AND(Configurator!$D$24&gt;"H",Configurator!$T$5="6"),"E9651367","E9650564")</f>
        <v>E9650564</v>
      </c>
      <c r="AL210" s="138" t="str">
        <f>IF(AND(Configurator!$D$24&gt;"H",Configurator!$T$5="6"),"E9651367","E9650564")</f>
        <v>E9650564</v>
      </c>
      <c r="AM210" s="138" t="str">
        <f>IF(AND(Configurator!$D$24&gt;"H",Configurator!$T$5="6"),"E9651367","E9650564")</f>
        <v>E9650564</v>
      </c>
      <c r="AN210" s="138" t="str">
        <f>IF(AND(Configurator!$D$24&gt;"H",Configurator!$T$5="6"),"E9651367","E9650564")</f>
        <v>E9650564</v>
      </c>
      <c r="AO210" s="138" t="str">
        <f>IF(AND(Configurator!$D$24&gt;"H",Configurator!$T$5="6"),"E9651367","E9650564")</f>
        <v>E9650564</v>
      </c>
      <c r="AP210" s="138" t="str">
        <f>IF(AND(Configurator!$D$24&gt;"H",Configurator!$T$5="6"),"E9651367","E9650564")</f>
        <v>E9650564</v>
      </c>
      <c r="AQ210" s="138" t="str">
        <f>IF(AND(Configurator!$D$24&gt;"H",Configurator!$T$5="6"),"E9651367","E9650564")</f>
        <v>E9650564</v>
      </c>
      <c r="AR210" s="138" t="str">
        <f>IF(AND(Configurator!$D$24&gt;"H",Configurator!$T$5="6"),"E9651367","E9650564")</f>
        <v>E9650564</v>
      </c>
      <c r="AS210" s="138" t="str">
        <f>IF(AND(Configurator!$D$24&gt;"H",Configurator!$T$5="6"),"E9651367","E9650564")</f>
        <v>E9650564</v>
      </c>
      <c r="AT210" s="138" t="str">
        <f>IF(AND(Configurator!$D$24&gt;"H",Configurator!$T$5="6"),"E9651367","E9650564")</f>
        <v>E9650564</v>
      </c>
      <c r="AU210" s="138" t="str">
        <f>IF(AND(Configurator!$D$24&gt;"H",Configurator!$T$5="6"),"E9651367","E9650564")</f>
        <v>E9650564</v>
      </c>
      <c r="AV210" s="138" t="str">
        <f>IF(AND(Configurator!$D$24&gt;"H",Configurator!$T$5="6"),"E9651367","E9650564")</f>
        <v>E9650564</v>
      </c>
      <c r="AW210" s="138" t="str">
        <f>IF(AND(Configurator!$D$24&gt;"H",Configurator!$T$5="6"),"E9651367","E9650564")</f>
        <v>E9650564</v>
      </c>
      <c r="AX210" s="138" t="str">
        <f>IF(AND(Configurator!$D$24&gt;"H",Configurator!$T$5="6"),"E9651367","E9650564")</f>
        <v>E9650564</v>
      </c>
      <c r="AY210" s="138" t="str">
        <f>IF(AND(Configurator!$D$24&gt;"H",Configurator!$T$5="6"),"E9651367","E9650564")</f>
        <v>E9650564</v>
      </c>
      <c r="AZ210" s="138" t="str">
        <f>IF(AND(Configurator!$D$24&gt;"H",Configurator!$T$5="6"),"E9651367","E9650564")</f>
        <v>E9650564</v>
      </c>
      <c r="BA210" s="138" t="str">
        <f>IF(AND(Configurator!$D$24&gt;"H",Configurator!$T$5="6"),"E9651367","E9650564")</f>
        <v>E9650564</v>
      </c>
      <c r="BB210" s="138" t="str">
        <f>IF(AND(Configurator!$D$24&gt;"H",Configurator!$T$5="6"),"E9651367","E9650564")</f>
        <v>E9650564</v>
      </c>
      <c r="BC210" s="138" t="str">
        <f>IF(AND(Configurator!$D$24&gt;"H",Configurator!$T$5="6"),"E9651367","E9650564")</f>
        <v>E9650564</v>
      </c>
      <c r="BD210" s="138" t="str">
        <f>IF(AND(Configurator!$D$24&gt;"H",Configurator!$T$5="6"),"E9651367","E9650564")</f>
        <v>E9650564</v>
      </c>
      <c r="BE210" s="138" t="str">
        <f>IF(AND(Configurator!$D$24&gt;"H",Configurator!$T$5="6"),"E9651367","E9650564")</f>
        <v>E9650564</v>
      </c>
      <c r="BF210" s="138" t="str">
        <f>IF(AND(Configurator!$D$24&gt;"H",Configurator!$T$5="6"),"E9651367","E9650564")</f>
        <v>E9650564</v>
      </c>
      <c r="BG210" s="138" t="str">
        <f>IF(AND(Configurator!$D$24&gt;"H",Configurator!$T$5="6"),"E9651367","E9650564")</f>
        <v>E9650564</v>
      </c>
      <c r="BH210" s="138" t="str">
        <f>IF(AND(Configurator!$D$24&gt;"H",Configurator!$T$5="6"),"E9651367","E9650564")</f>
        <v>E9650564</v>
      </c>
      <c r="BI210" s="138" t="str">
        <f>IF(AND(Configurator!$D$24&gt;"H",Configurator!$T$5="6"),"E9651367","E9650564")</f>
        <v>E9650564</v>
      </c>
      <c r="BJ210" s="138" t="str">
        <f>IF(AND(Configurator!$D$24&gt;"H",Configurator!$T$5="6"),"E9651367","E9650564")</f>
        <v>E9650564</v>
      </c>
      <c r="BK210" s="138" t="str">
        <f>IF(AND(Configurator!$D$24&gt;"H",Configurator!$T$5="6"),"E9651367","E9650564")</f>
        <v>E9650564</v>
      </c>
      <c r="BL210" s="138" t="str">
        <f>IF(AND(Configurator!$D$24&gt;"H",Configurator!$T$5="6"),"E9651367","E9650564")</f>
        <v>E9650564</v>
      </c>
      <c r="BM210" s="138" t="str">
        <f>IF(AND(Configurator!$D$24&gt;"H",Configurator!$T$5="6"),"E9651367","E9650564")</f>
        <v>E9650564</v>
      </c>
      <c r="BN210" s="138" t="str">
        <f>IF(AND(Configurator!$D$24&gt;"H",Configurator!$T$5="6"),"E9651367","E9650564")</f>
        <v>E9650564</v>
      </c>
      <c r="BO210" s="138" t="str">
        <f>IF(AND(Configurator!$D$24&gt;"H",Configurator!$T$5="6"),"E9651367","E9650564")</f>
        <v>E9650564</v>
      </c>
      <c r="BP210" s="138" t="str">
        <f>IF(AND(Configurator!$D$24&gt;"H",Configurator!$T$5="6"),"E9651367","E9650564")</f>
        <v>E9650564</v>
      </c>
      <c r="BQ210" s="138" t="str">
        <f>IF(AND(Configurator!$D$24&gt;"H",Configurator!$T$5="6"),"E9651367","E9650564")</f>
        <v>E9650564</v>
      </c>
      <c r="BR210" s="138" t="str">
        <f>IF(AND(Configurator!$D$24&gt;"H",Configurator!$T$5="6"),"E9651367","E9650564")</f>
        <v>E9650564</v>
      </c>
      <c r="BS210" s="138" t="str">
        <f>IF(AND(Configurator!$D$24&gt;"H",Configurator!$T$5="6"),"E9651367","E9650564")</f>
        <v>E9650564</v>
      </c>
      <c r="BT210" s="138" t="str">
        <f>IF(AND(Configurator!$D$24&gt;"H",Configurator!$T$5="6"),"E9651367","E9650564")</f>
        <v>E9650564</v>
      </c>
      <c r="BU210" s="138" t="str">
        <f>IF(AND(Configurator!$D$24&gt;"H",Configurator!$T$5="6"),"E9651367","E9650564")</f>
        <v>E9650564</v>
      </c>
      <c r="BV210" s="138" t="str">
        <f>IF(AND(Configurator!$D$24&gt;"H",Configurator!$T$5="6"),"E9651367","E9650564")</f>
        <v>E9650564</v>
      </c>
      <c r="BW210" s="138" t="str">
        <f>IF(AND(Configurator!$D$24&gt;"H",Configurator!$T$5="6"),"E9651367","E9650564")</f>
        <v>E9650564</v>
      </c>
      <c r="BX210" s="138" t="str">
        <f>IF(AND(Configurator!$D$24&gt;"H",Configurator!$T$5="6"),"E9651367","E9650564")</f>
        <v>E9650564</v>
      </c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</row>
    <row r="211" spans="2:86" ht="14.25">
      <c r="B211" s="138" t="str">
        <f>IF(AND(Configurator!$D$24&gt;"H",Configurator!$T$5="6"),"E9651908","E9650740")</f>
        <v>E9650740</v>
      </c>
      <c r="C211" s="138" t="str">
        <f>IF(AND(Configurator!$D$24&gt;"H",Configurator!$T$5="6"),"E9651908","E9650740")</f>
        <v>E9650740</v>
      </c>
      <c r="D211" s="138" t="str">
        <f>IF(AND(Configurator!$D$24&gt;"H",Configurator!$T$5="6"),"E9651908","E9650740")</f>
        <v>E9650740</v>
      </c>
      <c r="E211" s="138" t="str">
        <f>IF(AND(Configurator!$D$24&gt;"H",Configurator!$T$5="6"),"E9651908","E9650740")</f>
        <v>E9650740</v>
      </c>
      <c r="F211" s="138" t="str">
        <f>IF(AND(Configurator!$D$24&gt;"H",Configurator!$T$5="6"),"E9651908","E9650740")</f>
        <v>E9650740</v>
      </c>
      <c r="G211" s="138" t="str">
        <f>IF(AND(Configurator!$D$24&gt;"H",Configurator!$T$5="6"),"E9651908","E9650740")</f>
        <v>E9650740</v>
      </c>
      <c r="H211" s="138" t="str">
        <f>IF(AND(Configurator!$D$24&gt;"H",Configurator!$T$5="6"),"E9651908","E9650740")</f>
        <v>E9650740</v>
      </c>
      <c r="I211" s="138" t="str">
        <f>IF(AND(Configurator!$D$24&gt;"H",Configurator!$T$5="6"),"E9651908","E9650740")</f>
        <v>E9650740</v>
      </c>
      <c r="J211" s="138" t="str">
        <f>IF(AND(Configurator!$D$24&gt;"H",Configurator!$T$5="6"),"E9651908","E9650740")</f>
        <v>E9650740</v>
      </c>
      <c r="K211" s="138" t="str">
        <f>IF(AND(Configurator!$D$24&gt;"H",Configurator!$T$5="6"),"E9651908","E9650740")</f>
        <v>E9650740</v>
      </c>
      <c r="L211" s="138" t="str">
        <f>IF(AND(Configurator!$D$24&gt;"H",Configurator!$T$5="6"),"E9651908","E9650740")</f>
        <v>E9650740</v>
      </c>
      <c r="M211" s="138" t="str">
        <f>IF(AND(Configurator!$D$24&gt;"H",Configurator!$T$5="6"),"E9651908","E9650740")</f>
        <v>E9650740</v>
      </c>
      <c r="N211" s="138" t="str">
        <f>IF(AND(Configurator!$D$24&gt;"H",Configurator!$T$5="6"),"E9651908","E9650740")</f>
        <v>E9650740</v>
      </c>
      <c r="O211" s="138" t="str">
        <f>IF(AND(Configurator!$D$24&gt;"H",Configurator!$T$5="6"),"E9651908","E9650740")</f>
        <v>E9650740</v>
      </c>
      <c r="P211" s="138" t="str">
        <f>IF(AND(Configurator!$D$24&gt;"H",Configurator!$T$5="6"),"E9651908","E9650740")</f>
        <v>E9650740</v>
      </c>
      <c r="Q211" s="138" t="str">
        <f>IF(AND(Configurator!$D$24&gt;"H",Configurator!$T$5="6"),"E9651908","E9650740")</f>
        <v>E9650740</v>
      </c>
      <c r="R211" s="138" t="str">
        <f>IF(AND(Configurator!$D$24&gt;"H",Configurator!$T$5="6"),"E9651908","E9650740")</f>
        <v>E9650740</v>
      </c>
      <c r="S211" s="138" t="str">
        <f>IF(AND(Configurator!$D$24&gt;"H",Configurator!$T$5="6"),"E9651908","E9650740")</f>
        <v>E9650740</v>
      </c>
      <c r="T211" s="138" t="str">
        <f>IF(AND(Configurator!$D$24&gt;"H",Configurator!$T$5="6"),"E9651908","E9650740")</f>
        <v>E9650740</v>
      </c>
      <c r="U211" s="138" t="str">
        <f>IF(AND(Configurator!$D$24&gt;"H",Configurator!$T$5="6"),"E9651908","E9650740")</f>
        <v>E9650740</v>
      </c>
      <c r="V211" s="138" t="str">
        <f>IF(AND(Configurator!$D$24&gt;"H",Configurator!$T$5="6"),"E9651908","E9650740")</f>
        <v>E9650740</v>
      </c>
      <c r="W211" s="138" t="str">
        <f>IF(AND(Configurator!$D$24&gt;"H",Configurator!$T$5="6"),"E9651908","E9650740")</f>
        <v>E9650740</v>
      </c>
      <c r="X211" s="138" t="str">
        <f>IF(AND(Configurator!$D$24&gt;"H",Configurator!$T$5="6"),"E9651908","E9650740")</f>
        <v>E9650740</v>
      </c>
      <c r="Y211" s="138" t="str">
        <f>IF(AND(Configurator!$D$24&gt;"H",Configurator!$T$5="6"),"E9651908","E9650740")</f>
        <v>E9650740</v>
      </c>
      <c r="Z211" s="138" t="str">
        <f>IF(AND(Configurator!$D$24&gt;"H",Configurator!$T$5="6"),"E9651908","E9650740")</f>
        <v>E9650740</v>
      </c>
      <c r="AA211" s="138" t="str">
        <f>IF(AND(Configurator!$D$24&gt;"H",Configurator!$T$5="6"),"E9651908","E9650740")</f>
        <v>E9650740</v>
      </c>
      <c r="AB211" s="138" t="str">
        <f>IF(AND(Configurator!$D$24&gt;"H",Configurator!$T$5="6"),"E9651908","E9650740")</f>
        <v>E9650740</v>
      </c>
      <c r="AC211" s="138" t="str">
        <f>IF(AND(Configurator!$D$24&gt;"H",Configurator!$T$5="6"),"E9651908","E9650740")</f>
        <v>E9650740</v>
      </c>
      <c r="AD211" s="138" t="str">
        <f>IF(AND(Configurator!$D$24&gt;"H",Configurator!$T$5="6"),"E9651908","E9650740")</f>
        <v>E9650740</v>
      </c>
      <c r="AE211" s="138" t="str">
        <f>IF(AND(Configurator!$D$24&gt;"H",Configurator!$T$5="6"),"E9651908","E9650740")</f>
        <v>E9650740</v>
      </c>
      <c r="AF211" s="138" t="str">
        <f>IF(AND(Configurator!$D$24&gt;"H",Configurator!$T$5="6"),"E9651908","E9650740")</f>
        <v>E9650740</v>
      </c>
      <c r="AG211" s="138" t="str">
        <f>IF(AND(Configurator!$D$24&gt;"H",Configurator!$T$5="6"),"E9651908","E9650740")</f>
        <v>E9650740</v>
      </c>
      <c r="AH211" s="138" t="str">
        <f>IF(AND(Configurator!$D$24&gt;"H",Configurator!$T$5="6"),"E9651908","E9650740")</f>
        <v>E9650740</v>
      </c>
      <c r="AI211" s="138" t="str">
        <f>IF(AND(Configurator!$D$24&gt;"H",Configurator!$T$5="6"),"E9651908","E9650740")</f>
        <v>E9650740</v>
      </c>
      <c r="AJ211" s="138" t="str">
        <f>IF(AND(Configurator!$D$24&gt;"H",Configurator!$T$5="6"),"E9651908","E9650740")</f>
        <v>E9650740</v>
      </c>
      <c r="AK211" s="138" t="str">
        <f>IF(AND(Configurator!$D$24&gt;"H",Configurator!$T$5="6"),"E9651908","E9650740")</f>
        <v>E9650740</v>
      </c>
      <c r="AL211" s="138" t="str">
        <f>IF(AND(Configurator!$D$24&gt;"H",Configurator!$T$5="6"),"E9651908","E9650740")</f>
        <v>E9650740</v>
      </c>
      <c r="AM211" s="138" t="str">
        <f>IF(AND(Configurator!$D$24&gt;"H",Configurator!$T$5="6"),"E9651908","E9650740")</f>
        <v>E9650740</v>
      </c>
      <c r="AN211" s="138" t="str">
        <f>IF(AND(Configurator!$D$24&gt;"H",Configurator!$T$5="6"),"E9651908","E9650740")</f>
        <v>E9650740</v>
      </c>
      <c r="AO211" s="138" t="str">
        <f>IF(AND(Configurator!$D$24&gt;"H",Configurator!$T$5="6"),"E9651908","E9650740")</f>
        <v>E9650740</v>
      </c>
      <c r="AP211" s="138" t="str">
        <f>IF(AND(Configurator!$D$24&gt;"H",Configurator!$T$5="6"),"E9651908","E9650740")</f>
        <v>E9650740</v>
      </c>
      <c r="AQ211" s="138" t="str">
        <f>IF(AND(Configurator!$D$24&gt;"H",Configurator!$T$5="6"),"E9651908","E9650740")</f>
        <v>E9650740</v>
      </c>
      <c r="AR211" s="138" t="str">
        <f>IF(AND(Configurator!$D$24&gt;"H",Configurator!$T$5="6"),"E9651908","E9650740")</f>
        <v>E9650740</v>
      </c>
      <c r="AS211" s="138" t="str">
        <f>IF(AND(Configurator!$D$24&gt;"H",Configurator!$T$5="6"),"E9651908","E9650740")</f>
        <v>E9650740</v>
      </c>
      <c r="AT211" s="138" t="str">
        <f>IF(AND(Configurator!$D$24&gt;"H",Configurator!$T$5="6"),"E9651908","E9650740")</f>
        <v>E9650740</v>
      </c>
      <c r="AU211" s="138" t="str">
        <f>IF(AND(Configurator!$D$24&gt;"H",Configurator!$T$5="6"),"E9651908","E9650740")</f>
        <v>E9650740</v>
      </c>
      <c r="AV211" s="138" t="str">
        <f>IF(AND(Configurator!$D$24&gt;"H",Configurator!$T$5="6"),"E9651908","E9650740")</f>
        <v>E9650740</v>
      </c>
      <c r="AW211" s="138" t="str">
        <f>IF(AND(Configurator!$D$24&gt;"H",Configurator!$T$5="6"),"E9651908","E9650740")</f>
        <v>E9650740</v>
      </c>
      <c r="AX211" s="138" t="str">
        <f>IF(AND(Configurator!$D$24&gt;"H",Configurator!$T$5="6"),"E9651908","E9650740")</f>
        <v>E9650740</v>
      </c>
      <c r="AY211" s="138" t="str">
        <f>IF(AND(Configurator!$D$24&gt;"H",Configurator!$T$5="6"),"E9651908","E9650740")</f>
        <v>E9650740</v>
      </c>
      <c r="AZ211" s="138" t="str">
        <f>IF(AND(Configurator!$D$24&gt;"H",Configurator!$T$5="6"),"E9651908","E9650740")</f>
        <v>E9650740</v>
      </c>
      <c r="BA211" s="138" t="str">
        <f>IF(AND(Configurator!$D$24&gt;"H",Configurator!$T$5="6"),"E9651908","E9650740")</f>
        <v>E9650740</v>
      </c>
      <c r="BB211" s="138" t="str">
        <f>IF(AND(Configurator!$D$24&gt;"H",Configurator!$T$5="6"),"E9651908","E9650740")</f>
        <v>E9650740</v>
      </c>
      <c r="BC211" s="138" t="str">
        <f>IF(AND(Configurator!$D$24&gt;"H",Configurator!$T$5="6"),"E9651908","E9650740")</f>
        <v>E9650740</v>
      </c>
      <c r="BD211" s="138" t="str">
        <f>IF(AND(Configurator!$D$24&gt;"H",Configurator!$T$5="6"),"E9651908","E9650740")</f>
        <v>E9650740</v>
      </c>
      <c r="BE211" s="138" t="str">
        <f>IF(AND(Configurator!$D$24&gt;"H",Configurator!$T$5="6"),"E9651908","E9650740")</f>
        <v>E9650740</v>
      </c>
      <c r="BF211" s="138" t="str">
        <f>IF(AND(Configurator!$D$24&gt;"H",Configurator!$T$5="6"),"E9651908","E9650740")</f>
        <v>E9650740</v>
      </c>
      <c r="BG211" s="138" t="str">
        <f>IF(AND(Configurator!$D$24&gt;"H",Configurator!$T$5="6"),"E9651908","E9650740")</f>
        <v>E9650740</v>
      </c>
      <c r="BH211" s="138" t="str">
        <f>IF(AND(Configurator!$D$24&gt;"H",Configurator!$T$5="6"),"E9651908","E9650740")</f>
        <v>E9650740</v>
      </c>
      <c r="BI211" s="138" t="str">
        <f>IF(AND(Configurator!$D$24&gt;"H",Configurator!$T$5="6"),"E9651908","E9650740")</f>
        <v>E9650740</v>
      </c>
      <c r="BJ211" s="138" t="str">
        <f>IF(AND(Configurator!$D$24&gt;"H",Configurator!$T$5="6"),"E9651908","E9650740")</f>
        <v>E9650740</v>
      </c>
      <c r="BK211" s="138" t="str">
        <f>IF(AND(Configurator!$D$24&gt;"H",Configurator!$T$5="6"),"E9651908","E9650740")</f>
        <v>E9650740</v>
      </c>
      <c r="BL211" s="138" t="str">
        <f>IF(AND(Configurator!$D$24&gt;"H",Configurator!$T$5="6"),"E9651908","E9650740")</f>
        <v>E9650740</v>
      </c>
      <c r="BM211" s="138" t="str">
        <f>IF(AND(Configurator!$D$24&gt;"H",Configurator!$T$5="6"),"E9651908","E9650740")</f>
        <v>E9650740</v>
      </c>
      <c r="BN211" s="138" t="str">
        <f>IF(AND(Configurator!$D$24&gt;"H",Configurator!$T$5="6"),"E9651908","E9650740")</f>
        <v>E9650740</v>
      </c>
      <c r="BO211" s="138" t="str">
        <f>IF(AND(Configurator!$D$24&gt;"H",Configurator!$T$5="6"),"E9651908","E9650740")</f>
        <v>E9650740</v>
      </c>
      <c r="BP211" s="138" t="str">
        <f>IF(AND(Configurator!$D$24&gt;"H",Configurator!$T$5="6"),"E9651908","E9650740")</f>
        <v>E9650740</v>
      </c>
      <c r="BQ211" s="138" t="str">
        <f>IF(AND(Configurator!$D$24&gt;"H",Configurator!$T$5="6"),"E9651908","E9650740")</f>
        <v>E9650740</v>
      </c>
      <c r="BR211" s="138" t="str">
        <f>IF(AND(Configurator!$D$24&gt;"H",Configurator!$T$5="6"),"E9651908","E9650740")</f>
        <v>E9650740</v>
      </c>
      <c r="BS211" s="138" t="str">
        <f>IF(AND(Configurator!$D$24&gt;"H",Configurator!$T$5="6"),"E9651908","E9650740")</f>
        <v>E9650740</v>
      </c>
      <c r="BT211" s="138" t="str">
        <f>IF(AND(Configurator!$D$24&gt;"H",Configurator!$T$5="6"),"E9651908","E9650740")</f>
        <v>E9650740</v>
      </c>
      <c r="BU211" s="138" t="str">
        <f>IF(AND(Configurator!$D$24&gt;"H",Configurator!$T$5="6"),"E9651908","E9650740")</f>
        <v>E9650740</v>
      </c>
      <c r="BV211" s="138" t="str">
        <f>IF(AND(Configurator!$D$24&gt;"H",Configurator!$T$5="6"),"E9651908","E9650740")</f>
        <v>E9650740</v>
      </c>
      <c r="BW211" s="138" t="str">
        <f>IF(AND(Configurator!$D$24&gt;"H",Configurator!$T$5="6"),"E9651908","E9650740")</f>
        <v>E9650740</v>
      </c>
      <c r="BX211" s="138" t="str">
        <f>IF(AND(Configurator!$D$24&gt;"H",Configurator!$T$5="6"),"E9651908","E9650740")</f>
        <v>E9650740</v>
      </c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</row>
    <row r="212" spans="2:86" ht="14.25">
      <c r="B212" s="138" t="str">
        <f>IF(AND(Configurator!$D$24&gt;"H",Configurator!$T$5="6"),"E9651914","E9650741")</f>
        <v>E9650741</v>
      </c>
      <c r="C212" s="138" t="str">
        <f>IF(AND(Configurator!$D$24&gt;"H",Configurator!$T$5="6"),"E9651914","E9650741")</f>
        <v>E9650741</v>
      </c>
      <c r="D212" s="138" t="str">
        <f>IF(AND(Configurator!$D$24&gt;"H",Configurator!$T$5="6"),"E9651914","E9650741")</f>
        <v>E9650741</v>
      </c>
      <c r="E212" s="138" t="str">
        <f>IF(AND(Configurator!$D$24&gt;"H",Configurator!$T$5="6"),"E9651914","E9650741")</f>
        <v>E9650741</v>
      </c>
      <c r="F212" s="138" t="str">
        <f>IF(AND(Configurator!$D$24&gt;"H",Configurator!$T$5="6"),"E9651914","E9650741")</f>
        <v>E9650741</v>
      </c>
      <c r="G212" s="138" t="str">
        <f>IF(AND(Configurator!$D$24&gt;"H",Configurator!$T$5="6"),"E9651914","E9650741")</f>
        <v>E9650741</v>
      </c>
      <c r="H212" s="138" t="str">
        <f>IF(AND(Configurator!$D$24&gt;"H",Configurator!$T$5="6"),"E9651914","E9650741")</f>
        <v>E9650741</v>
      </c>
      <c r="I212" s="138" t="str">
        <f>IF(AND(Configurator!$D$24&gt;"H",Configurator!$T$5="6"),"E9651914","E9650741")</f>
        <v>E9650741</v>
      </c>
      <c r="J212" s="138" t="str">
        <f>IF(AND(Configurator!$D$24&gt;"H",Configurator!$T$5="6"),"E9651914","E9650741")</f>
        <v>E9650741</v>
      </c>
      <c r="K212" s="138" t="str">
        <f>IF(AND(Configurator!$D$24&gt;"H",Configurator!$T$5="6"),"E9651914","E9650741")</f>
        <v>E9650741</v>
      </c>
      <c r="L212" s="138" t="str">
        <f>IF(AND(Configurator!$D$24&gt;"H",Configurator!$T$5="6"),"E9651914","E9650741")</f>
        <v>E9650741</v>
      </c>
      <c r="M212" s="138" t="str">
        <f>IF(AND(Configurator!$D$24&gt;"H",Configurator!$T$5="6"),"E9651914","E9650741")</f>
        <v>E9650741</v>
      </c>
      <c r="N212" s="138" t="str">
        <f>IF(AND(Configurator!$D$24&gt;"H",Configurator!$T$5="6"),"E9651914","E9650741")</f>
        <v>E9650741</v>
      </c>
      <c r="O212" s="138" t="str">
        <f>IF(AND(Configurator!$D$24&gt;"H",Configurator!$T$5="6"),"E9651914","E9650741")</f>
        <v>E9650741</v>
      </c>
      <c r="P212" s="138" t="str">
        <f>IF(AND(Configurator!$D$24&gt;"H",Configurator!$T$5="6"),"E9651914","E9650741")</f>
        <v>E9650741</v>
      </c>
      <c r="Q212" s="138" t="str">
        <f>IF(AND(Configurator!$D$24&gt;"H",Configurator!$T$5="6"),"E9651914","E9650741")</f>
        <v>E9650741</v>
      </c>
      <c r="R212" s="138" t="str">
        <f>IF(AND(Configurator!$D$24&gt;"H",Configurator!$T$5="6"),"E9651914","E9650741")</f>
        <v>E9650741</v>
      </c>
      <c r="S212" s="138" t="str">
        <f>IF(AND(Configurator!$D$24&gt;"H",Configurator!$T$5="6"),"E9651914","E9650741")</f>
        <v>E9650741</v>
      </c>
      <c r="T212" s="138" t="str">
        <f>IF(AND(Configurator!$D$24&gt;"H",Configurator!$T$5="6"),"E9651914","E9650741")</f>
        <v>E9650741</v>
      </c>
      <c r="U212" s="138" t="str">
        <f>IF(AND(Configurator!$D$24&gt;"H",Configurator!$T$5="6"),"E9651914","E9650741")</f>
        <v>E9650741</v>
      </c>
      <c r="V212" s="138" t="str">
        <f>IF(AND(Configurator!$D$24&gt;"H",Configurator!$T$5="6"),"E9651914","E9650741")</f>
        <v>E9650741</v>
      </c>
      <c r="W212" s="138" t="str">
        <f>IF(AND(Configurator!$D$24&gt;"H",Configurator!$T$5="6"),"E9651914","E9650741")</f>
        <v>E9650741</v>
      </c>
      <c r="X212" s="138" t="str">
        <f>IF(AND(Configurator!$D$24&gt;"H",Configurator!$T$5="6"),"E9651914","E9650741")</f>
        <v>E9650741</v>
      </c>
      <c r="Y212" s="138" t="str">
        <f>IF(AND(Configurator!$D$24&gt;"H",Configurator!$T$5="6"),"E9651914","E9650741")</f>
        <v>E9650741</v>
      </c>
      <c r="Z212" s="138" t="str">
        <f>IF(AND(Configurator!$D$24&gt;"H",Configurator!$T$5="6"),"E9651914","E9650741")</f>
        <v>E9650741</v>
      </c>
      <c r="AA212" s="138" t="str">
        <f>IF(AND(Configurator!$D$24&gt;"H",Configurator!$T$5="6"),"E9651914","E9650741")</f>
        <v>E9650741</v>
      </c>
      <c r="AB212" s="138" t="str">
        <f>IF(AND(Configurator!$D$24&gt;"H",Configurator!$T$5="6"),"E9651914","E9650741")</f>
        <v>E9650741</v>
      </c>
      <c r="AC212" s="138" t="str">
        <f>IF(AND(Configurator!$D$24&gt;"H",Configurator!$T$5="6"),"E9651914","E9650741")</f>
        <v>E9650741</v>
      </c>
      <c r="AD212" s="138" t="str">
        <f>IF(AND(Configurator!$D$24&gt;"H",Configurator!$T$5="6"),"E9651914","E9650741")</f>
        <v>E9650741</v>
      </c>
      <c r="AE212" s="138" t="str">
        <f>IF(AND(Configurator!$D$24&gt;"H",Configurator!$T$5="6"),"E9651914","E9650741")</f>
        <v>E9650741</v>
      </c>
      <c r="AF212" s="138" t="str">
        <f>IF(AND(Configurator!$D$24&gt;"H",Configurator!$T$5="6"),"E9651914","E9650741")</f>
        <v>E9650741</v>
      </c>
      <c r="AG212" s="138" t="str">
        <f>IF(AND(Configurator!$D$24&gt;"H",Configurator!$T$5="6"),"E9651914","E9650741")</f>
        <v>E9650741</v>
      </c>
      <c r="AH212" s="138" t="str">
        <f>IF(AND(Configurator!$D$24&gt;"H",Configurator!$T$5="6"),"E9651914","E9650741")</f>
        <v>E9650741</v>
      </c>
      <c r="AI212" s="138" t="str">
        <f>IF(AND(Configurator!$D$24&gt;"H",Configurator!$T$5="6"),"E9651914","E9650741")</f>
        <v>E9650741</v>
      </c>
      <c r="AJ212" s="138" t="str">
        <f>IF(AND(Configurator!$D$24&gt;"H",Configurator!$T$5="6"),"E9651914","E9650741")</f>
        <v>E9650741</v>
      </c>
      <c r="AK212" s="138" t="str">
        <f>IF(AND(Configurator!$D$24&gt;"H",Configurator!$T$5="6"),"E9651914","E9650741")</f>
        <v>E9650741</v>
      </c>
      <c r="AL212" s="138" t="str">
        <f>IF(AND(Configurator!$D$24&gt;"H",Configurator!$T$5="6"),"E9651914","E9650741")</f>
        <v>E9650741</v>
      </c>
      <c r="AM212" s="138" t="str">
        <f>IF(AND(Configurator!$D$24&gt;"H",Configurator!$T$5="6"),"E9651914","E9650741")</f>
        <v>E9650741</v>
      </c>
      <c r="AN212" s="138" t="str">
        <f>IF(AND(Configurator!$D$24&gt;"H",Configurator!$T$5="6"),"E9651914","E9650741")</f>
        <v>E9650741</v>
      </c>
      <c r="AO212" s="138" t="str">
        <f>IF(AND(Configurator!$D$24&gt;"H",Configurator!$T$5="6"),"E9651914","E9650741")</f>
        <v>E9650741</v>
      </c>
      <c r="AP212" s="138" t="str">
        <f>IF(AND(Configurator!$D$24&gt;"H",Configurator!$T$5="6"),"E9651914","E9650741")</f>
        <v>E9650741</v>
      </c>
      <c r="AQ212" s="138" t="str">
        <f>IF(AND(Configurator!$D$24&gt;"H",Configurator!$T$5="6"),"E9651914","E9650741")</f>
        <v>E9650741</v>
      </c>
      <c r="AR212" s="138" t="str">
        <f>IF(AND(Configurator!$D$24&gt;"H",Configurator!$T$5="6"),"E9651914","E9650741")</f>
        <v>E9650741</v>
      </c>
      <c r="AS212" s="138" t="str">
        <f>IF(AND(Configurator!$D$24&gt;"H",Configurator!$T$5="6"),"E9651914","E9650741")</f>
        <v>E9650741</v>
      </c>
      <c r="AT212" s="138" t="str">
        <f>IF(AND(Configurator!$D$24&gt;"H",Configurator!$T$5="6"),"E9651914","E9650741")</f>
        <v>E9650741</v>
      </c>
      <c r="AU212" s="138" t="str">
        <f>IF(AND(Configurator!$D$24&gt;"H",Configurator!$T$5="6"),"E9651914","E9650741")</f>
        <v>E9650741</v>
      </c>
      <c r="AV212" s="138" t="str">
        <f>IF(AND(Configurator!$D$24&gt;"H",Configurator!$T$5="6"),"E9651914","E9650741")</f>
        <v>E9650741</v>
      </c>
      <c r="AW212" s="138" t="str">
        <f>IF(AND(Configurator!$D$24&gt;"H",Configurator!$T$5="6"),"E9651914","E9650741")</f>
        <v>E9650741</v>
      </c>
      <c r="AX212" s="138" t="str">
        <f>IF(AND(Configurator!$D$24&gt;"H",Configurator!$T$5="6"),"E9651914","E9650741")</f>
        <v>E9650741</v>
      </c>
      <c r="AY212" s="138" t="str">
        <f>IF(AND(Configurator!$D$24&gt;"H",Configurator!$T$5="6"),"E9651914","E9650741")</f>
        <v>E9650741</v>
      </c>
      <c r="AZ212" s="138" t="str">
        <f>IF(AND(Configurator!$D$24&gt;"H",Configurator!$T$5="6"),"E9651914","E9650741")</f>
        <v>E9650741</v>
      </c>
      <c r="BA212" s="138" t="str">
        <f>IF(AND(Configurator!$D$24&gt;"H",Configurator!$T$5="6"),"E9651914","E9650741")</f>
        <v>E9650741</v>
      </c>
      <c r="BB212" s="138" t="str">
        <f>IF(AND(Configurator!$D$24&gt;"H",Configurator!$T$5="6"),"E9651914","E9650741")</f>
        <v>E9650741</v>
      </c>
      <c r="BC212" s="138" t="str">
        <f>IF(AND(Configurator!$D$24&gt;"H",Configurator!$T$5="6"),"E9651914","E9650741")</f>
        <v>E9650741</v>
      </c>
      <c r="BD212" s="138" t="str">
        <f>IF(AND(Configurator!$D$24&gt;"H",Configurator!$T$5="6"),"E9651914","E9650741")</f>
        <v>E9650741</v>
      </c>
      <c r="BE212" s="138" t="str">
        <f>IF(AND(Configurator!$D$24&gt;"H",Configurator!$T$5="6"),"E9651914","E9650741")</f>
        <v>E9650741</v>
      </c>
      <c r="BF212" s="138" t="str">
        <f>IF(AND(Configurator!$D$24&gt;"H",Configurator!$T$5="6"),"E9651914","E9650741")</f>
        <v>E9650741</v>
      </c>
      <c r="BG212" s="138" t="str">
        <f>IF(AND(Configurator!$D$24&gt;"H",Configurator!$T$5="6"),"E9651914","E9650741")</f>
        <v>E9650741</v>
      </c>
      <c r="BH212" s="138" t="str">
        <f>IF(AND(Configurator!$D$24&gt;"H",Configurator!$T$5="6"),"E9651914","E9650741")</f>
        <v>E9650741</v>
      </c>
      <c r="BI212" s="138" t="str">
        <f>IF(AND(Configurator!$D$24&gt;"H",Configurator!$T$5="6"),"E9651914","E9650741")</f>
        <v>E9650741</v>
      </c>
      <c r="BJ212" s="138" t="str">
        <f>IF(AND(Configurator!$D$24&gt;"H",Configurator!$T$5="6"),"E9651914","E9650741")</f>
        <v>E9650741</v>
      </c>
      <c r="BK212" s="138" t="str">
        <f>IF(AND(Configurator!$D$24&gt;"H",Configurator!$T$5="6"),"E9651914","E9650741")</f>
        <v>E9650741</v>
      </c>
      <c r="BL212" s="138" t="str">
        <f>IF(AND(Configurator!$D$24&gt;"H",Configurator!$T$5="6"),"E9651914","E9650741")</f>
        <v>E9650741</v>
      </c>
      <c r="BM212" s="138" t="str">
        <f>IF(AND(Configurator!$D$24&gt;"H",Configurator!$T$5="6"),"E9651914","E9650741")</f>
        <v>E9650741</v>
      </c>
      <c r="BN212" s="138" t="str">
        <f>IF(AND(Configurator!$D$24&gt;"H",Configurator!$T$5="6"),"E9651914","E9650741")</f>
        <v>E9650741</v>
      </c>
      <c r="BO212" s="138" t="str">
        <f>IF(AND(Configurator!$D$24&gt;"H",Configurator!$T$5="6"),"E9651914","E9650741")</f>
        <v>E9650741</v>
      </c>
      <c r="BP212" s="138" t="str">
        <f>IF(AND(Configurator!$D$24&gt;"H",Configurator!$T$5="6"),"E9651914","E9650741")</f>
        <v>E9650741</v>
      </c>
      <c r="BQ212" s="138" t="str">
        <f>IF(AND(Configurator!$D$24&gt;"H",Configurator!$T$5="6"),"E9651914","E9650741")</f>
        <v>E9650741</v>
      </c>
      <c r="BR212" s="138" t="str">
        <f>IF(AND(Configurator!$D$24&gt;"H",Configurator!$T$5="6"),"E9651914","E9650741")</f>
        <v>E9650741</v>
      </c>
      <c r="BS212" s="138" t="str">
        <f>IF(AND(Configurator!$D$24&gt;"H",Configurator!$T$5="6"),"E9651914","E9650741")</f>
        <v>E9650741</v>
      </c>
      <c r="BT212" s="138" t="str">
        <f>IF(AND(Configurator!$D$24&gt;"H",Configurator!$T$5="6"),"E9651914","E9650741")</f>
        <v>E9650741</v>
      </c>
      <c r="BU212" s="138" t="str">
        <f>IF(AND(Configurator!$D$24&gt;"H",Configurator!$T$5="6"),"E9651914","E9650741")</f>
        <v>E9650741</v>
      </c>
      <c r="BV212" s="138" t="str">
        <f>IF(AND(Configurator!$D$24&gt;"H",Configurator!$T$5="6"),"E9651914","E9650741")</f>
        <v>E9650741</v>
      </c>
      <c r="BW212" s="138" t="str">
        <f>IF(AND(Configurator!$D$24&gt;"H",Configurator!$T$5="6"),"E9651914","E9650741")</f>
        <v>E9650741</v>
      </c>
      <c r="BX212" s="138" t="str">
        <f>IF(AND(Configurator!$D$24&gt;"H",Configurator!$T$5="6"),"E9651914","E9650741")</f>
        <v>E9650741</v>
      </c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</row>
    <row r="213" spans="2:86" ht="14.25">
      <c r="B213" s="138" t="str">
        <f>IF(AND(Configurator!$D$24&gt;"H",Configurator!$T$5="6"),"E9651366","E9650552")</f>
        <v>E9650552</v>
      </c>
      <c r="C213" s="138" t="str">
        <f>IF(AND(Configurator!$D$24&gt;"H",Configurator!$T$5="6"),"E9651366","E9650552")</f>
        <v>E9650552</v>
      </c>
      <c r="D213" s="138" t="str">
        <f>IF(AND(Configurator!$D$24&gt;"H",Configurator!$T$5="6"),"E9651366","E9650552")</f>
        <v>E9650552</v>
      </c>
      <c r="E213" s="138" t="str">
        <f>IF(AND(Configurator!$D$24&gt;"H",Configurator!$T$5="6"),"E9651366","E9650552")</f>
        <v>E9650552</v>
      </c>
      <c r="F213" s="138" t="str">
        <f>IF(AND(Configurator!$D$24&gt;"H",Configurator!$T$5="6"),"E9651366","E9650552")</f>
        <v>E9650552</v>
      </c>
      <c r="G213" s="138" t="str">
        <f>IF(AND(Configurator!$D$24&gt;"H",Configurator!$T$5="6"),"E9651366","E9650552")</f>
        <v>E9650552</v>
      </c>
      <c r="H213" s="138" t="str">
        <f>IF(AND(Configurator!$D$24&gt;"H",Configurator!$T$5="6"),"E9651366","E9650552")</f>
        <v>E9650552</v>
      </c>
      <c r="I213" s="138" t="str">
        <f>IF(AND(Configurator!$D$24&gt;"H",Configurator!$T$5="6"),"E9651366","E9650552")</f>
        <v>E9650552</v>
      </c>
      <c r="J213" s="138" t="str">
        <f>IF(AND(Configurator!$D$24&gt;"H",Configurator!$T$5="6"),"E9651366","E9650552")</f>
        <v>E9650552</v>
      </c>
      <c r="K213" s="138" t="str">
        <f>IF(AND(Configurator!$D$24&gt;"H",Configurator!$T$5="6"),"E9651366","E9650552")</f>
        <v>E9650552</v>
      </c>
      <c r="L213" s="138" t="str">
        <f>IF(AND(Configurator!$D$24&gt;"H",Configurator!$T$5="6"),"E9651366","E9650552")</f>
        <v>E9650552</v>
      </c>
      <c r="M213" s="138" t="str">
        <f>IF(AND(Configurator!$D$24&gt;"H",Configurator!$T$5="6"),"E9651366","E9650552")</f>
        <v>E9650552</v>
      </c>
      <c r="N213" s="138" t="str">
        <f>IF(AND(Configurator!$D$24&gt;"H",Configurator!$T$5="6"),"E9651366","E9650552")</f>
        <v>E9650552</v>
      </c>
      <c r="O213" s="138" t="str">
        <f>IF(AND(Configurator!$D$24&gt;"H",Configurator!$T$5="6"),"E9651366","E9650552")</f>
        <v>E9650552</v>
      </c>
      <c r="P213" s="138" t="str">
        <f>IF(AND(Configurator!$D$24&gt;"H",Configurator!$T$5="6"),"E9651366","E9650552")</f>
        <v>E9650552</v>
      </c>
      <c r="Q213" s="138" t="str">
        <f>IF(AND(Configurator!$D$24&gt;"H",Configurator!$T$5="6"),"E9651366","E9650552")</f>
        <v>E9650552</v>
      </c>
      <c r="R213" s="138" t="str">
        <f>IF(AND(Configurator!$D$24&gt;"H",Configurator!$T$5="6"),"E9651366","E9650552")</f>
        <v>E9650552</v>
      </c>
      <c r="S213" s="138" t="str">
        <f>IF(AND(Configurator!$D$24&gt;"H",Configurator!$T$5="6"),"E9651366","E9650552")</f>
        <v>E9650552</v>
      </c>
      <c r="T213" s="138" t="str">
        <f>IF(AND(Configurator!$D$24&gt;"H",Configurator!$T$5="6"),"E9651366","E9650552")</f>
        <v>E9650552</v>
      </c>
      <c r="U213" s="138" t="str">
        <f>IF(AND(Configurator!$D$24&gt;"H",Configurator!$T$5="6"),"E9651366","E9650552")</f>
        <v>E9650552</v>
      </c>
      <c r="V213" s="138" t="str">
        <f>IF(AND(Configurator!$D$24&gt;"H",Configurator!$T$5="6"),"E9651366","E9650552")</f>
        <v>E9650552</v>
      </c>
      <c r="W213" s="138" t="str">
        <f>IF(AND(Configurator!$D$24&gt;"H",Configurator!$T$5="6"),"E9651366","E9650552")</f>
        <v>E9650552</v>
      </c>
      <c r="X213" s="138" t="str">
        <f>IF(AND(Configurator!$D$24&gt;"H",Configurator!$T$5="6"),"E9651366","E9650552")</f>
        <v>E9650552</v>
      </c>
      <c r="Y213" s="138" t="str">
        <f>IF(AND(Configurator!$D$24&gt;"H",Configurator!$T$5="6"),"E9651366","E9650552")</f>
        <v>E9650552</v>
      </c>
      <c r="Z213" s="138" t="str">
        <f>IF(AND(Configurator!$D$24&gt;"H",Configurator!$T$5="6"),"E9651366","E9650552")</f>
        <v>E9650552</v>
      </c>
      <c r="AA213" s="138" t="str">
        <f>IF(AND(Configurator!$D$24&gt;"H",Configurator!$T$5="6"),"E9651366","E9650552")</f>
        <v>E9650552</v>
      </c>
      <c r="AB213" s="138" t="str">
        <f>IF(AND(Configurator!$D$24&gt;"H",Configurator!$T$5="6"),"E9651366","E9650552")</f>
        <v>E9650552</v>
      </c>
      <c r="AC213" s="138" t="str">
        <f>IF(AND(Configurator!$D$24&gt;"H",Configurator!$T$5="6"),"E9651366","E9650552")</f>
        <v>E9650552</v>
      </c>
      <c r="AD213" s="138" t="str">
        <f>IF(AND(Configurator!$D$24&gt;"H",Configurator!$T$5="6"),"E9651366","E9650552")</f>
        <v>E9650552</v>
      </c>
      <c r="AE213" s="138" t="str">
        <f>IF(AND(Configurator!$D$24&gt;"H",Configurator!$T$5="6"),"E9651366","E9650552")</f>
        <v>E9650552</v>
      </c>
      <c r="AF213" s="138" t="str">
        <f>IF(AND(Configurator!$D$24&gt;"H",Configurator!$T$5="6"),"E9651366","E9650552")</f>
        <v>E9650552</v>
      </c>
      <c r="AG213" s="138" t="str">
        <f>IF(AND(Configurator!$D$24&gt;"H",Configurator!$T$5="6"),"E9651366","E9650552")</f>
        <v>E9650552</v>
      </c>
      <c r="AH213" s="138" t="str">
        <f>IF(AND(Configurator!$D$24&gt;"H",Configurator!$T$5="6"),"E9651366","E9650552")</f>
        <v>E9650552</v>
      </c>
      <c r="AI213" s="138" t="str">
        <f>IF(AND(Configurator!$D$24&gt;"H",Configurator!$T$5="6"),"E9651366","E9650552")</f>
        <v>E9650552</v>
      </c>
      <c r="AJ213" s="138" t="str">
        <f>IF(AND(Configurator!$D$24&gt;"H",Configurator!$T$5="6"),"E9651366","E9650552")</f>
        <v>E9650552</v>
      </c>
      <c r="AK213" s="138" t="str">
        <f>IF(AND(Configurator!$D$24&gt;"H",Configurator!$T$5="6"),"E9651366","E9650552")</f>
        <v>E9650552</v>
      </c>
      <c r="AL213" s="138" t="str">
        <f>IF(AND(Configurator!$D$24&gt;"H",Configurator!$T$5="6"),"E9651366","E9650552")</f>
        <v>E9650552</v>
      </c>
      <c r="AM213" s="138" t="str">
        <f>IF(AND(Configurator!$D$24&gt;"H",Configurator!$T$5="6"),"E9651366","E9650552")</f>
        <v>E9650552</v>
      </c>
      <c r="AN213" s="138" t="str">
        <f>IF(AND(Configurator!$D$24&gt;"H",Configurator!$T$5="6"),"E9651366","E9650552")</f>
        <v>E9650552</v>
      </c>
      <c r="AO213" s="138" t="str">
        <f>IF(AND(Configurator!$D$24&gt;"H",Configurator!$T$5="6"),"E9651366","E9650552")</f>
        <v>E9650552</v>
      </c>
      <c r="AP213" s="138" t="str">
        <f>IF(AND(Configurator!$D$24&gt;"H",Configurator!$T$5="6"),"E9651366","E9650552")</f>
        <v>E9650552</v>
      </c>
      <c r="AQ213" s="138" t="str">
        <f>IF(AND(Configurator!$D$24&gt;"H",Configurator!$T$5="6"),"E9651366","E9650552")</f>
        <v>E9650552</v>
      </c>
      <c r="AR213" s="138" t="str">
        <f>IF(AND(Configurator!$D$24&gt;"H",Configurator!$T$5="6"),"E9651366","E9650552")</f>
        <v>E9650552</v>
      </c>
      <c r="AS213" s="138" t="str">
        <f>IF(AND(Configurator!$D$24&gt;"H",Configurator!$T$5="6"),"E9651366","E9650552")</f>
        <v>E9650552</v>
      </c>
      <c r="AT213" s="138" t="str">
        <f>IF(AND(Configurator!$D$24&gt;"H",Configurator!$T$5="6"),"E9651366","E9650552")</f>
        <v>E9650552</v>
      </c>
      <c r="AU213" s="138" t="str">
        <f>IF(AND(Configurator!$D$24&gt;"H",Configurator!$T$5="6"),"E9651366","E9650552")</f>
        <v>E9650552</v>
      </c>
      <c r="AV213" s="138" t="str">
        <f>IF(AND(Configurator!$D$24&gt;"H",Configurator!$T$5="6"),"E9651366","E9650552")</f>
        <v>E9650552</v>
      </c>
      <c r="AW213" s="138" t="str">
        <f>IF(AND(Configurator!$D$24&gt;"H",Configurator!$T$5="6"),"E9651366","E9650552")</f>
        <v>E9650552</v>
      </c>
      <c r="AX213" s="138" t="str">
        <f>IF(AND(Configurator!$D$24&gt;"H",Configurator!$T$5="6"),"E9651366","E9650552")</f>
        <v>E9650552</v>
      </c>
      <c r="AY213" s="138" t="str">
        <f>IF(AND(Configurator!$D$24&gt;"H",Configurator!$T$5="6"),"E9651366","E9650552")</f>
        <v>E9650552</v>
      </c>
      <c r="AZ213" s="138" t="str">
        <f>IF(AND(Configurator!$D$24&gt;"H",Configurator!$T$5="6"),"E9651366","E9650552")</f>
        <v>E9650552</v>
      </c>
      <c r="BA213" s="138" t="str">
        <f>IF(AND(Configurator!$D$24&gt;"H",Configurator!$T$5="6"),"E9651366","E9650552")</f>
        <v>E9650552</v>
      </c>
      <c r="BB213" s="138" t="str">
        <f>IF(AND(Configurator!$D$24&gt;"H",Configurator!$T$5="6"),"E9651366","E9650552")</f>
        <v>E9650552</v>
      </c>
      <c r="BC213" s="138" t="str">
        <f>IF(AND(Configurator!$D$24&gt;"H",Configurator!$T$5="6"),"E9651366","E9650552")</f>
        <v>E9650552</v>
      </c>
      <c r="BD213" s="138" t="str">
        <f>IF(AND(Configurator!$D$24&gt;"H",Configurator!$T$5="6"),"E9651366","E9650552")</f>
        <v>E9650552</v>
      </c>
      <c r="BE213" s="138" t="str">
        <f>IF(AND(Configurator!$D$24&gt;"H",Configurator!$T$5="6"),"E9651366","E9650552")</f>
        <v>E9650552</v>
      </c>
      <c r="BF213" s="138" t="str">
        <f>IF(AND(Configurator!$D$24&gt;"H",Configurator!$T$5="6"),"E9651366","E9650552")</f>
        <v>E9650552</v>
      </c>
      <c r="BG213" s="138" t="str">
        <f>IF(AND(Configurator!$D$24&gt;"H",Configurator!$T$5="6"),"E9651366","E9650552")</f>
        <v>E9650552</v>
      </c>
      <c r="BH213" s="138" t="str">
        <f>IF(AND(Configurator!$D$24&gt;"H",Configurator!$T$5="6"),"E9651366","E9650552")</f>
        <v>E9650552</v>
      </c>
      <c r="BI213" s="138" t="str">
        <f>IF(AND(Configurator!$D$24&gt;"H",Configurator!$T$5="6"),"E9651366","E9650552")</f>
        <v>E9650552</v>
      </c>
      <c r="BJ213" s="138" t="str">
        <f>IF(AND(Configurator!$D$24&gt;"H",Configurator!$T$5="6"),"E9651366","E9650552")</f>
        <v>E9650552</v>
      </c>
      <c r="BK213" s="138" t="str">
        <f>IF(AND(Configurator!$D$24&gt;"H",Configurator!$T$5="6"),"E9651366","E9650552")</f>
        <v>E9650552</v>
      </c>
      <c r="BL213" s="138" t="str">
        <f>IF(AND(Configurator!$D$24&gt;"H",Configurator!$T$5="6"),"E9651366","E9650552")</f>
        <v>E9650552</v>
      </c>
      <c r="BM213" s="138" t="str">
        <f>IF(AND(Configurator!$D$24&gt;"H",Configurator!$T$5="6"),"E9651366","E9650552")</f>
        <v>E9650552</v>
      </c>
      <c r="BN213" s="138" t="str">
        <f>IF(AND(Configurator!$D$24&gt;"H",Configurator!$T$5="6"),"E9651366","E9650552")</f>
        <v>E9650552</v>
      </c>
      <c r="BO213" s="138" t="str">
        <f>IF(AND(Configurator!$D$24&gt;"H",Configurator!$T$5="6"),"E9651366","E9650552")</f>
        <v>E9650552</v>
      </c>
      <c r="BP213" s="138" t="str">
        <f>IF(AND(Configurator!$D$24&gt;"H",Configurator!$T$5="6"),"E9651366","E9650552")</f>
        <v>E9650552</v>
      </c>
      <c r="BQ213" s="138" t="str">
        <f>IF(AND(Configurator!$D$24&gt;"H",Configurator!$T$5="6"),"E9651366","E9650552")</f>
        <v>E9650552</v>
      </c>
      <c r="BR213" s="138" t="str">
        <f>IF(AND(Configurator!$D$24&gt;"H",Configurator!$T$5="6"),"E9651366","E9650552")</f>
        <v>E9650552</v>
      </c>
      <c r="BS213" s="138" t="str">
        <f>IF(AND(Configurator!$D$24&gt;"H",Configurator!$T$5="6"),"E9651366","E9650552")</f>
        <v>E9650552</v>
      </c>
      <c r="BT213" s="138" t="str">
        <f>IF(AND(Configurator!$D$24&gt;"H",Configurator!$T$5="6"),"E9651366","E9650552")</f>
        <v>E9650552</v>
      </c>
      <c r="BU213" s="138" t="str">
        <f>IF(AND(Configurator!$D$24&gt;"H",Configurator!$T$5="6"),"E9651366","E9650552")</f>
        <v>E9650552</v>
      </c>
      <c r="BV213" s="138" t="str">
        <f>IF(AND(Configurator!$D$24&gt;"H",Configurator!$T$5="6"),"E9651366","E9650552")</f>
        <v>E9650552</v>
      </c>
      <c r="BW213" s="138" t="str">
        <f>IF(AND(Configurator!$D$24&gt;"H",Configurator!$T$5="6"),"E9651366","E9650552")</f>
        <v>E9650552</v>
      </c>
      <c r="BX213" s="138" t="str">
        <f>IF(AND(Configurator!$D$24&gt;"H",Configurator!$T$5="6"),"E9651366","E9650552")</f>
        <v>E9650552</v>
      </c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</row>
    <row r="214" spans="2:3" ht="14.25">
      <c r="B214" s="94"/>
      <c r="C214" s="94"/>
    </row>
    <row r="215" spans="2:26" ht="14.25">
      <c r="B215" s="94"/>
      <c r="C215" s="94"/>
      <c r="Z215" s="166"/>
    </row>
    <row r="216" spans="2:26" ht="14.25">
      <c r="B216" s="94"/>
      <c r="C216" s="94"/>
      <c r="Z216" s="166"/>
    </row>
    <row r="217" spans="2:26" ht="14.25">
      <c r="B217" s="94"/>
      <c r="C217" s="94"/>
      <c r="Z217" s="166"/>
    </row>
    <row r="218" spans="2:26" ht="14.25">
      <c r="B218" s="94"/>
      <c r="C218" s="94"/>
      <c r="Z218" s="166"/>
    </row>
    <row r="219" spans="2:26" ht="14.25">
      <c r="B219" s="94"/>
      <c r="C219" s="94"/>
      <c r="Z219" s="166"/>
    </row>
    <row r="220" spans="2:3" ht="14.25">
      <c r="B220" s="94"/>
      <c r="C220" s="94"/>
    </row>
    <row r="221" spans="2:3" ht="14.25">
      <c r="B221" s="94"/>
      <c r="C221" s="94"/>
    </row>
    <row r="222" spans="2:3" ht="14.25">
      <c r="B222" s="94"/>
      <c r="C222" s="94"/>
    </row>
    <row r="223" spans="2:3" ht="14.25">
      <c r="B223" s="94"/>
      <c r="C223" s="94"/>
    </row>
    <row r="224" spans="2:3" ht="14.25">
      <c r="B224" s="94"/>
      <c r="C224" s="94"/>
    </row>
    <row r="225" spans="2:3" ht="14.25">
      <c r="B225" s="94"/>
      <c r="C225" s="94"/>
    </row>
    <row r="226" spans="2:3" ht="14.25">
      <c r="B226" s="94"/>
      <c r="C226" s="94"/>
    </row>
    <row r="227" spans="2:3" ht="14.25">
      <c r="B227" s="94"/>
      <c r="C227" s="94"/>
    </row>
    <row r="228" spans="2:3" ht="14.25">
      <c r="B228" s="94"/>
      <c r="C228" s="94"/>
    </row>
    <row r="229" spans="2:3" ht="14.25">
      <c r="B229" s="94"/>
      <c r="C229" s="94"/>
    </row>
    <row r="230" spans="2:3" ht="14.25">
      <c r="B230" s="94"/>
      <c r="C230" s="94"/>
    </row>
    <row r="231" spans="2:3" ht="14.25">
      <c r="B231" s="94"/>
      <c r="C231" s="94"/>
    </row>
    <row r="232" spans="2:3" ht="14.25">
      <c r="B232" s="94"/>
      <c r="C232" s="94"/>
    </row>
    <row r="233" spans="2:3" ht="14.25">
      <c r="B233" s="94"/>
      <c r="C233" s="94"/>
    </row>
    <row r="234" spans="2:3" ht="14.25">
      <c r="B234" s="94"/>
      <c r="C234" s="94"/>
    </row>
    <row r="235" spans="2:3" ht="14.25">
      <c r="B235" s="94"/>
      <c r="C235" s="94"/>
    </row>
    <row r="236" spans="2:3" ht="14.25">
      <c r="B236" s="94"/>
      <c r="C236" s="94"/>
    </row>
    <row r="237" spans="2:3" ht="14.25">
      <c r="B237" s="94"/>
      <c r="C237" s="94"/>
    </row>
    <row r="238" spans="2:3" ht="14.25">
      <c r="B238" s="94"/>
      <c r="C238" s="94"/>
    </row>
    <row r="239" spans="2:3" ht="14.25">
      <c r="B239" s="94"/>
      <c r="C239" s="94"/>
    </row>
    <row r="240" spans="2:3" ht="14.25">
      <c r="B240" s="94"/>
      <c r="C240" s="94"/>
    </row>
    <row r="241" spans="2:3" ht="14.25">
      <c r="B241" s="94"/>
      <c r="C241" s="94"/>
    </row>
    <row r="242" spans="2:3" ht="14.25">
      <c r="B242" s="94"/>
      <c r="C242" s="94"/>
    </row>
    <row r="243" spans="2:3" ht="14.25">
      <c r="B243" s="94"/>
      <c r="C243" s="94"/>
    </row>
    <row r="244" spans="2:3" ht="14.25">
      <c r="B244" s="94"/>
      <c r="C244" s="94"/>
    </row>
    <row r="245" spans="2:3" ht="14.25">
      <c r="B245" s="94"/>
      <c r="C245" s="94"/>
    </row>
    <row r="246" spans="2:3" ht="14.25">
      <c r="B246" s="94"/>
      <c r="C246" s="94"/>
    </row>
    <row r="247" spans="2:3" ht="14.25">
      <c r="B247" s="94"/>
      <c r="C247" s="94"/>
    </row>
    <row r="248" spans="2:3" ht="14.25">
      <c r="B248" s="94"/>
      <c r="C248" s="94"/>
    </row>
    <row r="249" spans="2:3" ht="14.25">
      <c r="B249" s="94"/>
      <c r="C249" s="94"/>
    </row>
    <row r="250" spans="2:3" ht="14.25">
      <c r="B250" s="94"/>
      <c r="C250" s="94"/>
    </row>
    <row r="251" spans="2:3" ht="14.25">
      <c r="B251" s="94"/>
      <c r="C251" s="94"/>
    </row>
    <row r="252" spans="2:3" ht="14.25">
      <c r="B252" s="94"/>
      <c r="C252" s="94"/>
    </row>
    <row r="253" spans="2:3" ht="14.25">
      <c r="B253" s="94"/>
      <c r="C253" s="94"/>
    </row>
    <row r="254" spans="2:3" ht="14.25">
      <c r="B254" s="94"/>
      <c r="C254" s="94"/>
    </row>
    <row r="255" spans="2:3" ht="14.25">
      <c r="B255" s="94"/>
      <c r="C255" s="94"/>
    </row>
    <row r="256" spans="2:3" ht="14.25">
      <c r="B256" s="94"/>
      <c r="C256" s="94"/>
    </row>
    <row r="257" spans="2:3" ht="14.25">
      <c r="B257" s="94"/>
      <c r="C257" s="94"/>
    </row>
    <row r="258" spans="2:3" ht="14.25">
      <c r="B258" s="94"/>
      <c r="C258" s="94"/>
    </row>
    <row r="259" spans="2:3" ht="14.25">
      <c r="B259" s="94"/>
      <c r="C259" s="94"/>
    </row>
    <row r="260" spans="2:3" ht="14.25">
      <c r="B260" s="94"/>
      <c r="C260" s="94"/>
    </row>
    <row r="261" spans="2:3" ht="14.25">
      <c r="B261" s="94"/>
      <c r="C261" s="94"/>
    </row>
    <row r="262" spans="2:3" ht="14.25">
      <c r="B262" s="94"/>
      <c r="C262" s="94"/>
    </row>
    <row r="263" spans="2:3" ht="14.25">
      <c r="B263" s="94"/>
      <c r="C263" s="94"/>
    </row>
    <row r="264" spans="2:3" ht="14.25">
      <c r="B264" s="94"/>
      <c r="C264" s="94"/>
    </row>
    <row r="265" spans="2:3" ht="14.25">
      <c r="B265" s="94"/>
      <c r="C265" s="94"/>
    </row>
    <row r="266" spans="2:3" ht="14.25">
      <c r="B266" s="94"/>
      <c r="C266" s="94"/>
    </row>
    <row r="267" spans="2:3" ht="14.25">
      <c r="B267" s="94"/>
      <c r="C267" s="94"/>
    </row>
    <row r="268" spans="2:3" ht="14.25">
      <c r="B268" s="94"/>
      <c r="C268" s="94"/>
    </row>
    <row r="269" spans="2:3" ht="14.25">
      <c r="B269" s="94"/>
      <c r="C269" s="94"/>
    </row>
    <row r="270" spans="2:3" ht="14.25">
      <c r="B270" s="94"/>
      <c r="C270" s="94"/>
    </row>
    <row r="271" spans="2:3" ht="14.25">
      <c r="B271" s="94"/>
      <c r="C271" s="94"/>
    </row>
    <row r="272" spans="2:3" ht="14.25">
      <c r="B272" s="94"/>
      <c r="C272" s="94"/>
    </row>
    <row r="273" spans="2:3" ht="14.25">
      <c r="B273" s="94"/>
      <c r="C273" s="94"/>
    </row>
    <row r="274" spans="2:3" ht="14.25">
      <c r="B274" s="94"/>
      <c r="C274" s="94"/>
    </row>
    <row r="275" spans="2:3" ht="14.25">
      <c r="B275" s="94"/>
      <c r="C275" s="94"/>
    </row>
    <row r="276" spans="2:3" ht="14.25">
      <c r="B276" s="94"/>
      <c r="C276" s="94"/>
    </row>
    <row r="277" spans="2:3" ht="14.25">
      <c r="B277" s="94"/>
      <c r="C277" s="94"/>
    </row>
    <row r="278" spans="2:3" ht="14.25">
      <c r="B278" s="94"/>
      <c r="C278" s="94"/>
    </row>
    <row r="279" spans="2:3" ht="14.25">
      <c r="B279" s="94"/>
      <c r="C279" s="94"/>
    </row>
    <row r="280" spans="2:3" ht="14.25">
      <c r="B280" s="94"/>
      <c r="C280" s="94"/>
    </row>
    <row r="281" spans="2:3" ht="14.25">
      <c r="B281" s="94"/>
      <c r="C281" s="94"/>
    </row>
    <row r="282" spans="2:3" ht="14.25">
      <c r="B282" s="94"/>
      <c r="C282" s="94"/>
    </row>
    <row r="283" spans="2:3" ht="14.25">
      <c r="B283" s="94"/>
      <c r="C283" s="94"/>
    </row>
    <row r="284" spans="2:3" ht="14.25">
      <c r="B284" s="94"/>
      <c r="C284" s="94"/>
    </row>
    <row r="285" spans="2:3" ht="14.25">
      <c r="B285" s="94"/>
      <c r="C285" s="94"/>
    </row>
    <row r="286" spans="2:3" ht="14.25">
      <c r="B286" s="94"/>
      <c r="C286" s="94"/>
    </row>
    <row r="287" spans="2:3" ht="14.25">
      <c r="B287" s="94"/>
      <c r="C287" s="94"/>
    </row>
    <row r="288" spans="2:3" ht="14.25">
      <c r="B288" s="94"/>
      <c r="C288" s="94"/>
    </row>
    <row r="289" spans="2:3" ht="14.25">
      <c r="B289" s="94"/>
      <c r="C289" s="94"/>
    </row>
    <row r="290" spans="2:3" ht="14.25">
      <c r="B290" s="94"/>
      <c r="C290" s="94"/>
    </row>
    <row r="291" spans="2:3" ht="14.25">
      <c r="B291" s="94"/>
      <c r="C291" s="94"/>
    </row>
    <row r="292" spans="2:3" ht="14.25">
      <c r="B292" s="94"/>
      <c r="C292" s="94"/>
    </row>
    <row r="293" spans="2:3" ht="14.25">
      <c r="B293" s="94"/>
      <c r="C293" s="94"/>
    </row>
    <row r="294" spans="2:3" ht="14.25">
      <c r="B294" s="94"/>
      <c r="C294" s="94"/>
    </row>
    <row r="295" spans="2:3" ht="14.25">
      <c r="B295" s="94"/>
      <c r="C295" s="94"/>
    </row>
    <row r="296" spans="2:3" ht="14.25">
      <c r="B296" s="94"/>
      <c r="C296" s="94"/>
    </row>
    <row r="297" spans="2:3" ht="14.25">
      <c r="B297" s="94"/>
      <c r="C297" s="94"/>
    </row>
    <row r="298" spans="2:3" ht="14.25">
      <c r="B298" s="94"/>
      <c r="C298" s="94"/>
    </row>
    <row r="299" spans="2:3" ht="14.25">
      <c r="B299" s="94"/>
      <c r="C299" s="94"/>
    </row>
    <row r="300" spans="2:3" ht="14.25">
      <c r="B300" s="94"/>
      <c r="C300" s="94"/>
    </row>
    <row r="301" spans="2:3" ht="14.25">
      <c r="B301" s="94"/>
      <c r="C301" s="94"/>
    </row>
    <row r="302" spans="2:3" ht="14.25">
      <c r="B302" s="94"/>
      <c r="C302" s="94"/>
    </row>
    <row r="303" spans="2:3" ht="14.25">
      <c r="B303" s="94"/>
      <c r="C303" s="94"/>
    </row>
    <row r="304" spans="2:3" ht="14.25">
      <c r="B304" s="94"/>
      <c r="C304" s="94"/>
    </row>
    <row r="305" spans="2:3" ht="14.25">
      <c r="B305" s="94"/>
      <c r="C305" s="94"/>
    </row>
    <row r="306" spans="2:3" ht="14.25">
      <c r="B306" s="94"/>
      <c r="C306" s="94"/>
    </row>
    <row r="307" spans="2:3" ht="14.25">
      <c r="B307" s="94"/>
      <c r="C307" s="94"/>
    </row>
    <row r="308" spans="2:3" ht="14.25">
      <c r="B308" s="94"/>
      <c r="C308" s="94"/>
    </row>
    <row r="309" spans="2:3" ht="14.25">
      <c r="B309" s="94"/>
      <c r="C309" s="94"/>
    </row>
    <row r="310" spans="2:3" ht="14.25">
      <c r="B310" s="94"/>
      <c r="C310" s="94"/>
    </row>
    <row r="311" spans="2:3" ht="14.25">
      <c r="B311" s="94"/>
      <c r="C311" s="94"/>
    </row>
    <row r="312" spans="2:3" ht="14.25">
      <c r="B312" s="94"/>
      <c r="C312" s="94"/>
    </row>
    <row r="313" spans="2:3" ht="14.25">
      <c r="B313" s="94"/>
      <c r="C313" s="94"/>
    </row>
    <row r="314" spans="2:3" ht="14.25">
      <c r="B314" s="94"/>
      <c r="C314" s="94"/>
    </row>
    <row r="315" spans="2:3" ht="14.25">
      <c r="B315" s="94"/>
      <c r="C315" s="94"/>
    </row>
    <row r="316" spans="2:3" ht="14.25">
      <c r="B316" s="94"/>
      <c r="C316" s="94"/>
    </row>
    <row r="317" spans="2:3" ht="14.25">
      <c r="B317" s="94"/>
      <c r="C317" s="94"/>
    </row>
    <row r="318" spans="2:3" ht="14.25">
      <c r="B318" s="94"/>
      <c r="C318" s="94"/>
    </row>
    <row r="319" spans="2:3" ht="14.25">
      <c r="B319" s="94"/>
      <c r="C319" s="94"/>
    </row>
    <row r="320" spans="2:3" ht="14.25">
      <c r="B320" s="94"/>
      <c r="C320" s="94"/>
    </row>
    <row r="321" spans="2:3" ht="14.25">
      <c r="B321" s="94"/>
      <c r="C321" s="94"/>
    </row>
    <row r="322" spans="2:3" ht="14.25">
      <c r="B322" s="94"/>
      <c r="C322" s="94"/>
    </row>
    <row r="323" spans="2:3" ht="14.25">
      <c r="B323" s="94"/>
      <c r="C323" s="94"/>
    </row>
    <row r="324" spans="2:3" ht="14.25">
      <c r="B324" s="94"/>
      <c r="C324" s="94"/>
    </row>
    <row r="325" spans="2:3" ht="14.25">
      <c r="B325" s="94"/>
      <c r="C325" s="94"/>
    </row>
    <row r="326" spans="2:3" ht="14.25">
      <c r="B326" s="94"/>
      <c r="C326" s="94"/>
    </row>
    <row r="327" spans="2:3" ht="14.25">
      <c r="B327" s="94"/>
      <c r="C327" s="94"/>
    </row>
    <row r="328" spans="2:3" ht="14.25">
      <c r="B328" s="94"/>
      <c r="C328" s="94"/>
    </row>
    <row r="329" spans="2:3" ht="14.25">
      <c r="B329" s="94"/>
      <c r="C329" s="94"/>
    </row>
    <row r="330" spans="2:3" ht="14.25">
      <c r="B330" s="94"/>
      <c r="C330" s="94"/>
    </row>
    <row r="331" spans="2:3" ht="14.25">
      <c r="B331" s="94"/>
      <c r="C331" s="94"/>
    </row>
    <row r="332" spans="2:3" ht="14.25">
      <c r="B332" s="94"/>
      <c r="C332" s="94"/>
    </row>
    <row r="333" spans="2:3" ht="14.25">
      <c r="B333" s="94"/>
      <c r="C333" s="94"/>
    </row>
    <row r="334" spans="2:3" ht="14.25">
      <c r="B334" s="94"/>
      <c r="C334" s="94"/>
    </row>
    <row r="335" spans="2:3" ht="14.25">
      <c r="B335" s="94"/>
      <c r="C335" s="94"/>
    </row>
    <row r="336" spans="2:3" ht="14.25">
      <c r="B336" s="94"/>
      <c r="C336" s="94"/>
    </row>
    <row r="337" spans="2:3" ht="14.25">
      <c r="B337" s="94"/>
      <c r="C337" s="94"/>
    </row>
    <row r="338" spans="2:3" ht="14.25">
      <c r="B338" s="94"/>
      <c r="C338" s="94"/>
    </row>
    <row r="339" spans="2:3" ht="14.25">
      <c r="B339" s="94"/>
      <c r="C339" s="94"/>
    </row>
    <row r="340" spans="2:3" ht="14.25">
      <c r="B340" s="94"/>
      <c r="C340" s="94"/>
    </row>
    <row r="341" spans="2:3" ht="14.25">
      <c r="B341" s="94"/>
      <c r="C341" s="94"/>
    </row>
    <row r="342" spans="2:3" ht="14.25">
      <c r="B342" s="94"/>
      <c r="C342" s="94"/>
    </row>
    <row r="343" spans="2:3" ht="14.25">
      <c r="B343" s="94"/>
      <c r="C343" s="94"/>
    </row>
    <row r="344" spans="2:3" ht="14.25">
      <c r="B344" s="94"/>
      <c r="C344" s="94"/>
    </row>
    <row r="345" spans="2:3" ht="14.25">
      <c r="B345" s="94"/>
      <c r="C345" s="94"/>
    </row>
    <row r="346" spans="2:3" ht="14.25">
      <c r="B346" s="94"/>
      <c r="C346" s="94"/>
    </row>
    <row r="347" spans="2:3" ht="14.25">
      <c r="B347" s="94"/>
      <c r="C347" s="94"/>
    </row>
    <row r="348" spans="2:3" ht="14.25">
      <c r="B348" s="94"/>
      <c r="C348" s="94"/>
    </row>
    <row r="349" spans="2:3" ht="14.25">
      <c r="B349" s="94"/>
      <c r="C349" s="94"/>
    </row>
    <row r="350" spans="2:3" ht="14.25">
      <c r="B350" s="94"/>
      <c r="C350" s="94"/>
    </row>
    <row r="351" spans="2:3" ht="14.25">
      <c r="B351" s="94"/>
      <c r="C351" s="94"/>
    </row>
    <row r="352" spans="2:3" ht="14.25">
      <c r="B352" s="94"/>
      <c r="C352" s="94"/>
    </row>
    <row r="353" spans="2:3" ht="14.25">
      <c r="B353" s="94"/>
      <c r="C353" s="94"/>
    </row>
    <row r="354" spans="2:3" ht="14.25">
      <c r="B354" s="94"/>
      <c r="C354" s="94"/>
    </row>
    <row r="355" spans="2:3" ht="14.25">
      <c r="B355" s="94"/>
      <c r="C355" s="94"/>
    </row>
    <row r="356" spans="2:3" ht="14.25">
      <c r="B356" s="94"/>
      <c r="C356" s="94"/>
    </row>
    <row r="357" spans="2:3" ht="14.25">
      <c r="B357" s="94"/>
      <c r="C357" s="94"/>
    </row>
    <row r="358" spans="2:3" ht="14.25">
      <c r="B358" s="94"/>
      <c r="C358" s="94"/>
    </row>
    <row r="359" spans="2:3" ht="14.25">
      <c r="B359" s="94"/>
      <c r="C359" s="94"/>
    </row>
    <row r="360" spans="2:3" ht="14.25">
      <c r="B360" s="94"/>
      <c r="C360" s="94"/>
    </row>
    <row r="361" spans="2:3" ht="14.25">
      <c r="B361" s="94"/>
      <c r="C361" s="94"/>
    </row>
    <row r="362" spans="2:3" ht="14.25">
      <c r="B362" s="94"/>
      <c r="C362" s="94"/>
    </row>
    <row r="363" spans="2:3" ht="14.25">
      <c r="B363" s="94"/>
      <c r="C363" s="94"/>
    </row>
    <row r="364" spans="2:3" ht="14.25">
      <c r="B364" s="94"/>
      <c r="C364" s="94"/>
    </row>
    <row r="365" spans="2:3" ht="14.25">
      <c r="B365" s="94"/>
      <c r="C365" s="94"/>
    </row>
    <row r="366" spans="2:3" ht="14.25">
      <c r="B366" s="94"/>
      <c r="C366" s="94"/>
    </row>
    <row r="367" spans="2:3" ht="14.25">
      <c r="B367" s="94"/>
      <c r="C367" s="94"/>
    </row>
    <row r="368" spans="2:3" ht="14.25">
      <c r="B368" s="94"/>
      <c r="C368" s="94"/>
    </row>
    <row r="369" spans="2:3" ht="14.25">
      <c r="B369" s="94"/>
      <c r="C369" s="94"/>
    </row>
    <row r="370" spans="2:3" ht="14.25">
      <c r="B370" s="94"/>
      <c r="C370" s="94"/>
    </row>
    <row r="371" spans="2:3" ht="14.25">
      <c r="B371" s="94"/>
      <c r="C371" s="94"/>
    </row>
    <row r="372" spans="2:3" ht="14.25">
      <c r="B372" s="94"/>
      <c r="C372" s="94"/>
    </row>
    <row r="373" spans="2:3" ht="14.25">
      <c r="B373" s="94"/>
      <c r="C373" s="94"/>
    </row>
    <row r="374" spans="2:3" ht="14.25">
      <c r="B374" s="94"/>
      <c r="C374" s="94"/>
    </row>
    <row r="375" spans="2:3" ht="14.25">
      <c r="B375" s="94"/>
      <c r="C375" s="94"/>
    </row>
    <row r="376" spans="2:3" ht="14.25">
      <c r="B376" s="94"/>
      <c r="C376" s="94"/>
    </row>
    <row r="377" spans="2:3" ht="14.25">
      <c r="B377" s="94"/>
      <c r="C377" s="94"/>
    </row>
    <row r="378" spans="2:3" ht="14.25">
      <c r="B378" s="94"/>
      <c r="C378" s="94"/>
    </row>
    <row r="379" spans="2:3" ht="14.25">
      <c r="B379" s="94"/>
      <c r="C379" s="94"/>
    </row>
    <row r="380" spans="2:3" ht="14.25">
      <c r="B380" s="94"/>
      <c r="C380" s="94"/>
    </row>
    <row r="381" spans="2:3" ht="14.25">
      <c r="B381" s="94"/>
      <c r="C381" s="94"/>
    </row>
    <row r="382" spans="2:3" ht="14.25">
      <c r="B382" s="94"/>
      <c r="C382" s="94"/>
    </row>
    <row r="383" spans="2:3" ht="14.25">
      <c r="B383" s="94"/>
      <c r="C383" s="94"/>
    </row>
    <row r="384" spans="2:3" ht="14.25">
      <c r="B384" s="94"/>
      <c r="C384" s="94"/>
    </row>
    <row r="385" spans="2:3" ht="14.25">
      <c r="B385" s="94"/>
      <c r="C385" s="94"/>
    </row>
    <row r="386" spans="2:3" ht="14.25">
      <c r="B386" s="94"/>
      <c r="C386" s="94"/>
    </row>
    <row r="387" spans="2:3" ht="14.25">
      <c r="B387" s="94"/>
      <c r="C387" s="94"/>
    </row>
    <row r="388" spans="2:3" ht="14.25">
      <c r="B388" s="94"/>
      <c r="C388" s="94"/>
    </row>
    <row r="389" spans="2:3" ht="14.25">
      <c r="B389" s="94"/>
      <c r="C389" s="94"/>
    </row>
    <row r="390" spans="2:3" ht="14.25">
      <c r="B390" s="94"/>
      <c r="C390" s="94"/>
    </row>
    <row r="391" spans="2:3" ht="14.25">
      <c r="B391" s="94"/>
      <c r="C391" s="94"/>
    </row>
    <row r="392" spans="2:3" ht="14.25">
      <c r="B392" s="94"/>
      <c r="C392" s="94"/>
    </row>
    <row r="393" spans="2:3" ht="14.25">
      <c r="B393" s="94"/>
      <c r="C393" s="94"/>
    </row>
    <row r="394" spans="2:3" ht="14.25">
      <c r="B394" s="94"/>
      <c r="C394" s="94"/>
    </row>
    <row r="395" spans="2:3" ht="14.25">
      <c r="B395" s="94"/>
      <c r="C395" s="94"/>
    </row>
    <row r="396" spans="2:3" ht="14.25">
      <c r="B396" s="94"/>
      <c r="C396" s="94"/>
    </row>
    <row r="397" spans="2:3" ht="14.25">
      <c r="B397" s="94"/>
      <c r="C397" s="94"/>
    </row>
    <row r="398" spans="2:3" ht="14.25">
      <c r="B398" s="94"/>
      <c r="C398" s="94"/>
    </row>
    <row r="399" spans="2:3" ht="14.25">
      <c r="B399" s="94"/>
      <c r="C399" s="94"/>
    </row>
    <row r="400" spans="2:3" ht="14.25">
      <c r="B400" s="94"/>
      <c r="C400" s="94"/>
    </row>
    <row r="401" spans="2:3" ht="14.25">
      <c r="B401" s="94"/>
      <c r="C401" s="94"/>
    </row>
    <row r="402" spans="2:3" ht="14.25">
      <c r="B402" s="94"/>
      <c r="C402" s="94"/>
    </row>
    <row r="403" spans="2:3" ht="14.25">
      <c r="B403" s="94"/>
      <c r="C403" s="94"/>
    </row>
    <row r="404" spans="2:3" ht="14.25">
      <c r="B404" s="94"/>
      <c r="C404" s="94"/>
    </row>
    <row r="405" spans="2:3" ht="14.25">
      <c r="B405" s="94"/>
      <c r="C405" s="94"/>
    </row>
    <row r="406" spans="2:3" ht="14.25">
      <c r="B406" s="94"/>
      <c r="C406" s="94"/>
    </row>
    <row r="407" spans="2:3" ht="14.25">
      <c r="B407" s="94"/>
      <c r="C407" s="94"/>
    </row>
    <row r="408" spans="2:3" ht="14.25">
      <c r="B408" s="94"/>
      <c r="C408" s="94"/>
    </row>
    <row r="409" spans="2:3" ht="14.25">
      <c r="B409" s="94"/>
      <c r="C409" s="94"/>
    </row>
    <row r="410" spans="2:3" ht="14.25">
      <c r="B410" s="94"/>
      <c r="C410" s="94"/>
    </row>
    <row r="411" spans="2:3" ht="14.25">
      <c r="B411" s="94"/>
      <c r="C411" s="94"/>
    </row>
    <row r="412" spans="2:3" ht="14.25">
      <c r="B412" s="94"/>
      <c r="C412" s="94"/>
    </row>
    <row r="413" spans="2:3" ht="14.25">
      <c r="B413" s="94"/>
      <c r="C413" s="94"/>
    </row>
    <row r="414" spans="2:3" ht="14.25">
      <c r="B414" s="94"/>
      <c r="C414" s="94"/>
    </row>
    <row r="415" spans="2:3" ht="14.25">
      <c r="B415" s="94"/>
      <c r="C415" s="94"/>
    </row>
    <row r="416" spans="2:3" ht="14.25">
      <c r="B416" s="94"/>
      <c r="C416" s="94"/>
    </row>
    <row r="417" spans="2:3" ht="14.25">
      <c r="B417" s="94"/>
      <c r="C417" s="94"/>
    </row>
    <row r="418" spans="2:3" ht="14.25">
      <c r="B418" s="94"/>
      <c r="C418" s="94"/>
    </row>
    <row r="419" spans="2:3" ht="14.25">
      <c r="B419" s="94"/>
      <c r="C419" s="94"/>
    </row>
    <row r="420" spans="2:3" ht="14.25">
      <c r="B420" s="94"/>
      <c r="C420" s="94"/>
    </row>
    <row r="421" spans="2:3" ht="14.25">
      <c r="B421" s="94"/>
      <c r="C421" s="94"/>
    </row>
    <row r="422" spans="2:3" ht="14.25">
      <c r="B422" s="94"/>
      <c r="C422" s="94"/>
    </row>
    <row r="423" spans="2:3" ht="14.25">
      <c r="B423" s="94"/>
      <c r="C423" s="94"/>
    </row>
    <row r="424" spans="2:3" ht="14.25">
      <c r="B424" s="94"/>
      <c r="C424" s="94"/>
    </row>
    <row r="425" spans="2:3" ht="14.25">
      <c r="B425" s="94"/>
      <c r="C425" s="94"/>
    </row>
    <row r="426" spans="2:3" ht="14.25">
      <c r="B426" s="94"/>
      <c r="C426" s="94"/>
    </row>
    <row r="427" spans="2:3" ht="14.25">
      <c r="B427" s="94"/>
      <c r="C427" s="94"/>
    </row>
    <row r="428" spans="2:3" ht="14.25">
      <c r="B428" s="94"/>
      <c r="C428" s="94"/>
    </row>
    <row r="429" spans="2:3" ht="14.25">
      <c r="B429" s="94"/>
      <c r="C429" s="94"/>
    </row>
    <row r="430" spans="2:3" ht="14.25">
      <c r="B430" s="94"/>
      <c r="C430" s="94"/>
    </row>
    <row r="431" spans="2:3" ht="14.25">
      <c r="B431" s="94"/>
      <c r="C431" s="94"/>
    </row>
    <row r="432" spans="2:3" ht="14.25">
      <c r="B432" s="94"/>
      <c r="C432" s="94"/>
    </row>
    <row r="433" spans="2:3" ht="14.25">
      <c r="B433" s="94"/>
      <c r="C433" s="94"/>
    </row>
    <row r="434" spans="2:3" ht="14.25">
      <c r="B434" s="94"/>
      <c r="C434" s="94"/>
    </row>
    <row r="435" spans="2:3" ht="14.25">
      <c r="B435" s="94"/>
      <c r="C435" s="94"/>
    </row>
    <row r="436" spans="2:3" ht="14.25">
      <c r="B436" s="94"/>
      <c r="C436" s="94"/>
    </row>
    <row r="437" spans="2:3" ht="14.25">
      <c r="B437" s="94"/>
      <c r="C437" s="94"/>
    </row>
    <row r="438" spans="2:3" ht="14.25">
      <c r="B438" s="94"/>
      <c r="C438" s="94"/>
    </row>
    <row r="439" spans="2:3" ht="14.25">
      <c r="B439" s="94"/>
      <c r="C439" s="94"/>
    </row>
    <row r="440" spans="2:3" ht="14.25">
      <c r="B440" s="94"/>
      <c r="C440" s="94"/>
    </row>
    <row r="441" spans="2:3" ht="14.25">
      <c r="B441" s="94"/>
      <c r="C441" s="94"/>
    </row>
    <row r="442" spans="2:3" ht="14.25">
      <c r="B442" s="94"/>
      <c r="C442" s="94"/>
    </row>
    <row r="443" spans="2:3" ht="14.25">
      <c r="B443" s="94"/>
      <c r="C443" s="94"/>
    </row>
    <row r="444" spans="2:3" ht="14.25">
      <c r="B444" s="94"/>
      <c r="C444" s="94"/>
    </row>
    <row r="445" spans="2:3" ht="14.25">
      <c r="B445" s="94"/>
      <c r="C445" s="94"/>
    </row>
    <row r="446" spans="2:3" ht="14.25">
      <c r="B446" s="94"/>
      <c r="C446" s="94"/>
    </row>
    <row r="447" spans="2:3" ht="14.25">
      <c r="B447" s="94"/>
      <c r="C447" s="94"/>
    </row>
    <row r="448" spans="2:3" ht="14.25">
      <c r="B448" s="94"/>
      <c r="C448" s="94"/>
    </row>
    <row r="449" spans="2:3" ht="14.25">
      <c r="B449" s="94"/>
      <c r="C449" s="94"/>
    </row>
    <row r="450" spans="2:3" ht="14.25">
      <c r="B450" s="94"/>
      <c r="C450" s="94"/>
    </row>
    <row r="451" spans="2:3" ht="14.25">
      <c r="B451" s="94"/>
      <c r="C451" s="94"/>
    </row>
    <row r="452" spans="2:3" ht="14.25">
      <c r="B452" s="94"/>
      <c r="C452" s="94"/>
    </row>
    <row r="453" spans="2:3" ht="14.25">
      <c r="B453" s="94"/>
      <c r="C453" s="94"/>
    </row>
    <row r="454" spans="2:3" ht="14.25">
      <c r="B454" s="94"/>
      <c r="C454" s="94"/>
    </row>
    <row r="455" spans="2:3" ht="14.25">
      <c r="B455" s="94"/>
      <c r="C455" s="94"/>
    </row>
    <row r="456" spans="2:3" ht="14.25">
      <c r="B456" s="94"/>
      <c r="C456" s="94"/>
    </row>
    <row r="457" spans="2:3" ht="14.25">
      <c r="B457" s="94"/>
      <c r="C457" s="94"/>
    </row>
    <row r="458" spans="2:3" ht="14.25">
      <c r="B458" s="94"/>
      <c r="C458" s="94"/>
    </row>
    <row r="459" spans="2:3" ht="14.25">
      <c r="B459" s="94"/>
      <c r="C459" s="94"/>
    </row>
    <row r="460" spans="2:3" ht="14.25">
      <c r="B460" s="94"/>
      <c r="C460" s="94"/>
    </row>
    <row r="461" spans="2:3" ht="14.25">
      <c r="B461" s="94"/>
      <c r="C461" s="94"/>
    </row>
    <row r="462" spans="2:3" ht="14.25">
      <c r="B462" s="94"/>
      <c r="C462" s="94"/>
    </row>
    <row r="463" spans="2:3" ht="14.25">
      <c r="B463" s="94"/>
      <c r="C463" s="94"/>
    </row>
    <row r="464" spans="2:3" ht="14.25">
      <c r="B464" s="94"/>
      <c r="C464" s="94"/>
    </row>
    <row r="465" spans="2:3" ht="14.25">
      <c r="B465" s="94"/>
      <c r="C465" s="94"/>
    </row>
    <row r="466" spans="2:3" ht="14.25">
      <c r="B466" s="94"/>
      <c r="C466" s="94"/>
    </row>
    <row r="467" spans="2:3" ht="14.25">
      <c r="B467" s="94"/>
      <c r="C467" s="94"/>
    </row>
    <row r="468" spans="2:3" ht="14.25">
      <c r="B468" s="94"/>
      <c r="C468" s="94"/>
    </row>
    <row r="469" spans="2:3" ht="14.25">
      <c r="B469" s="94"/>
      <c r="C469" s="94"/>
    </row>
    <row r="470" spans="2:3" ht="14.25">
      <c r="B470" s="94"/>
      <c r="C470" s="94"/>
    </row>
    <row r="471" spans="2:3" ht="14.25">
      <c r="B471" s="94"/>
      <c r="C471" s="94"/>
    </row>
    <row r="472" spans="2:3" ht="14.25">
      <c r="B472" s="94"/>
      <c r="C472" s="94"/>
    </row>
    <row r="473" spans="2:3" ht="14.25">
      <c r="B473" s="94"/>
      <c r="C473" s="94"/>
    </row>
    <row r="474" spans="2:3" ht="14.25">
      <c r="B474" s="94"/>
      <c r="C474" s="94"/>
    </row>
    <row r="475" spans="2:3" ht="14.25">
      <c r="B475" s="94"/>
      <c r="C475" s="94"/>
    </row>
    <row r="476" spans="2:3" ht="14.25">
      <c r="B476" s="94"/>
      <c r="C476" s="94"/>
    </row>
    <row r="477" spans="2:3" ht="14.25">
      <c r="B477" s="94"/>
      <c r="C477" s="94"/>
    </row>
    <row r="478" spans="2:3" ht="14.25">
      <c r="B478" s="94"/>
      <c r="C478" s="94"/>
    </row>
    <row r="479" spans="2:3" ht="14.25">
      <c r="B479" s="94"/>
      <c r="C479" s="94"/>
    </row>
    <row r="480" spans="2:3" ht="14.25">
      <c r="B480" s="94"/>
      <c r="C480" s="94"/>
    </row>
    <row r="481" spans="2:3" ht="14.25">
      <c r="B481" s="94"/>
      <c r="C481" s="94"/>
    </row>
    <row r="482" spans="2:3" ht="14.25">
      <c r="B482" s="94"/>
      <c r="C482" s="94"/>
    </row>
    <row r="483" spans="2:3" ht="14.25">
      <c r="B483" s="94"/>
      <c r="C483" s="94"/>
    </row>
    <row r="484" spans="2:3" ht="14.25">
      <c r="B484" s="94"/>
      <c r="C484" s="94"/>
    </row>
    <row r="485" spans="2:3" ht="14.25">
      <c r="B485" s="94"/>
      <c r="C485" s="94"/>
    </row>
    <row r="486" spans="2:3" ht="14.25">
      <c r="B486" s="94"/>
      <c r="C486" s="94"/>
    </row>
    <row r="487" spans="2:3" ht="14.25">
      <c r="B487" s="94"/>
      <c r="C487" s="94"/>
    </row>
    <row r="488" spans="2:3" ht="14.25">
      <c r="B488" s="94"/>
      <c r="C488" s="94"/>
    </row>
    <row r="489" spans="2:3" ht="14.25">
      <c r="B489" s="94"/>
      <c r="C489" s="94"/>
    </row>
    <row r="490" spans="2:3" ht="14.25">
      <c r="B490" s="94"/>
      <c r="C490" s="94"/>
    </row>
    <row r="491" spans="2:3" ht="14.25">
      <c r="B491" s="94"/>
      <c r="C491" s="94"/>
    </row>
    <row r="492" spans="2:3" ht="14.25">
      <c r="B492" s="94"/>
      <c r="C492" s="94"/>
    </row>
    <row r="493" spans="2:3" ht="14.25">
      <c r="B493" s="94"/>
      <c r="C493" s="94"/>
    </row>
    <row r="494" spans="2:3" ht="14.25">
      <c r="B494" s="94"/>
      <c r="C494" s="94"/>
    </row>
    <row r="495" spans="2:3" ht="14.25">
      <c r="B495" s="94"/>
      <c r="C495" s="94"/>
    </row>
    <row r="496" spans="2:3" ht="14.25">
      <c r="B496" s="94"/>
      <c r="C496" s="94"/>
    </row>
    <row r="497" spans="2:3" ht="14.25">
      <c r="B497" s="94"/>
      <c r="C497" s="94"/>
    </row>
    <row r="498" spans="2:3" ht="14.25">
      <c r="B498" s="94"/>
      <c r="C498" s="94"/>
    </row>
    <row r="499" spans="2:3" ht="14.25">
      <c r="B499" s="94"/>
      <c r="C499" s="94"/>
    </row>
    <row r="500" spans="2:3" ht="14.25">
      <c r="B500" s="94"/>
      <c r="C500" s="94"/>
    </row>
    <row r="501" spans="2:3" ht="14.25">
      <c r="B501" s="94"/>
      <c r="C501" s="94"/>
    </row>
    <row r="502" spans="2:3" ht="14.25">
      <c r="B502" s="94"/>
      <c r="C502" s="94"/>
    </row>
    <row r="503" spans="2:3" ht="14.25">
      <c r="B503" s="94"/>
      <c r="C503" s="94"/>
    </row>
    <row r="504" spans="2:3" ht="14.25">
      <c r="B504" s="94"/>
      <c r="C504" s="94"/>
    </row>
    <row r="505" spans="2:3" ht="14.25">
      <c r="B505" s="94"/>
      <c r="C505" s="94"/>
    </row>
    <row r="506" spans="2:3" ht="14.25">
      <c r="B506" s="94"/>
      <c r="C506" s="94"/>
    </row>
    <row r="507" spans="2:3" ht="14.25">
      <c r="B507" s="94"/>
      <c r="C507" s="94"/>
    </row>
    <row r="508" spans="2:3" ht="14.25">
      <c r="B508" s="94"/>
      <c r="C508" s="94"/>
    </row>
    <row r="509" spans="2:3" ht="14.25">
      <c r="B509" s="94"/>
      <c r="C509" s="94"/>
    </row>
    <row r="510" spans="2:3" ht="14.25">
      <c r="B510" s="94"/>
      <c r="C510" s="94"/>
    </row>
    <row r="511" spans="2:3" ht="14.25">
      <c r="B511" s="94"/>
      <c r="C511" s="94"/>
    </row>
    <row r="512" spans="2:3" ht="14.25">
      <c r="B512" s="94"/>
      <c r="C512" s="94"/>
    </row>
    <row r="513" spans="2:3" ht="14.25">
      <c r="B513" s="94"/>
      <c r="C513" s="94"/>
    </row>
    <row r="514" spans="2:3" ht="14.25">
      <c r="B514" s="94"/>
      <c r="C514" s="94"/>
    </row>
    <row r="515" spans="2:3" ht="14.25">
      <c r="B515" s="94"/>
      <c r="C515" s="94"/>
    </row>
    <row r="516" spans="2:3" ht="14.25">
      <c r="B516" s="94"/>
      <c r="C516" s="94"/>
    </row>
    <row r="517" spans="2:3" ht="14.25">
      <c r="B517" s="94"/>
      <c r="C517" s="94"/>
    </row>
    <row r="518" spans="2:3" ht="14.25">
      <c r="B518" s="94"/>
      <c r="C518" s="94"/>
    </row>
    <row r="519" spans="2:3" ht="14.25">
      <c r="B519" s="94"/>
      <c r="C519" s="94"/>
    </row>
    <row r="520" spans="2:3" ht="14.25">
      <c r="B520" s="94"/>
      <c r="C520" s="94"/>
    </row>
    <row r="521" spans="2:3" ht="14.25">
      <c r="B521" s="94"/>
      <c r="C521" s="94"/>
    </row>
    <row r="522" spans="2:3" ht="14.25">
      <c r="B522" s="94"/>
      <c r="C522" s="94"/>
    </row>
    <row r="523" spans="2:3" ht="14.25">
      <c r="B523" s="94"/>
      <c r="C523" s="94"/>
    </row>
    <row r="524" spans="2:3" ht="14.25">
      <c r="B524" s="94"/>
      <c r="C524" s="94"/>
    </row>
    <row r="525" spans="2:3" ht="14.25">
      <c r="B525" s="94"/>
      <c r="C525" s="94"/>
    </row>
    <row r="526" spans="2:3" ht="14.25">
      <c r="B526" s="94"/>
      <c r="C526" s="94"/>
    </row>
    <row r="527" spans="2:3" ht="14.25">
      <c r="B527" s="94"/>
      <c r="C527" s="94"/>
    </row>
    <row r="528" spans="2:3" ht="14.25">
      <c r="B528" s="94"/>
      <c r="C528" s="94"/>
    </row>
    <row r="529" spans="2:3" ht="14.25">
      <c r="B529" s="94"/>
      <c r="C529" s="94"/>
    </row>
    <row r="530" spans="2:3" ht="14.25">
      <c r="B530" s="94"/>
      <c r="C530" s="94"/>
    </row>
    <row r="531" spans="2:3" ht="14.25">
      <c r="B531" s="94"/>
      <c r="C531" s="94"/>
    </row>
    <row r="532" spans="2:3" ht="14.25">
      <c r="B532" s="94"/>
      <c r="C532" s="94"/>
    </row>
    <row r="533" spans="2:3" ht="14.25">
      <c r="B533" s="94"/>
      <c r="C533" s="94"/>
    </row>
    <row r="534" spans="2:3" ht="14.25">
      <c r="B534" s="94"/>
      <c r="C534" s="94"/>
    </row>
    <row r="535" spans="2:3" ht="14.25">
      <c r="B535" s="94"/>
      <c r="C535" s="94"/>
    </row>
    <row r="536" spans="2:3" ht="14.25">
      <c r="B536" s="94"/>
      <c r="C536" s="94"/>
    </row>
    <row r="537" spans="2:3" ht="14.25">
      <c r="B537" s="94"/>
      <c r="C537" s="94"/>
    </row>
    <row r="538" spans="2:3" ht="14.25">
      <c r="B538" s="94"/>
      <c r="C538" s="94"/>
    </row>
    <row r="539" spans="2:3" ht="14.25">
      <c r="B539" s="94"/>
      <c r="C539" s="94"/>
    </row>
    <row r="540" spans="2:3" ht="14.25">
      <c r="B540" s="94"/>
      <c r="C540" s="94"/>
    </row>
    <row r="541" spans="2:3" ht="14.25">
      <c r="B541" s="94"/>
      <c r="C541" s="94"/>
    </row>
    <row r="542" spans="2:3" ht="14.25">
      <c r="B542" s="94"/>
      <c r="C542" s="94"/>
    </row>
    <row r="543" spans="2:3" ht="14.25">
      <c r="B543" s="94"/>
      <c r="C543" s="94"/>
    </row>
    <row r="544" spans="2:3" ht="14.25">
      <c r="B544" s="94"/>
      <c r="C544" s="94"/>
    </row>
    <row r="545" spans="2:3" ht="14.25">
      <c r="B545" s="94"/>
      <c r="C545" s="94"/>
    </row>
    <row r="546" spans="2:3" ht="14.25">
      <c r="B546" s="94"/>
      <c r="C546" s="94"/>
    </row>
    <row r="547" spans="2:3" ht="14.25">
      <c r="B547" s="94"/>
      <c r="C547" s="94"/>
    </row>
    <row r="548" spans="2:3" ht="14.25">
      <c r="B548" s="94"/>
      <c r="C548" s="94"/>
    </row>
    <row r="549" spans="2:3" ht="14.25">
      <c r="B549" s="94"/>
      <c r="C549" s="94"/>
    </row>
    <row r="550" spans="2:3" ht="14.25">
      <c r="B550" s="94"/>
      <c r="C550" s="94"/>
    </row>
    <row r="551" spans="2:3" ht="14.25">
      <c r="B551" s="94"/>
      <c r="C551" s="94"/>
    </row>
    <row r="552" spans="2:3" ht="14.25">
      <c r="B552" s="94"/>
      <c r="C552" s="94"/>
    </row>
    <row r="553" spans="2:3" ht="14.25">
      <c r="B553" s="94"/>
      <c r="C553" s="94"/>
    </row>
    <row r="554" spans="2:3" ht="14.25">
      <c r="B554" s="94"/>
      <c r="C554" s="94"/>
    </row>
    <row r="555" spans="2:3" ht="14.25">
      <c r="B555" s="94"/>
      <c r="C555" s="94"/>
    </row>
    <row r="556" spans="2:3" ht="14.25">
      <c r="B556" s="94"/>
      <c r="C556" s="94"/>
    </row>
    <row r="557" spans="2:3" ht="14.25">
      <c r="B557" s="94"/>
      <c r="C557" s="94"/>
    </row>
    <row r="558" spans="2:3" ht="14.25">
      <c r="B558" s="94"/>
      <c r="C558" s="94"/>
    </row>
    <row r="559" spans="2:3" ht="14.25">
      <c r="B559" s="94"/>
      <c r="C559" s="94"/>
    </row>
    <row r="560" spans="2:3" ht="14.25">
      <c r="B560" s="94"/>
      <c r="C560" s="94"/>
    </row>
    <row r="561" spans="2:3" ht="14.25">
      <c r="B561" s="94"/>
      <c r="C561" s="94"/>
    </row>
    <row r="562" spans="2:3" ht="14.25">
      <c r="B562" s="94"/>
      <c r="C562" s="94"/>
    </row>
    <row r="563" spans="2:3" ht="14.25">
      <c r="B563" s="94"/>
      <c r="C563" s="94"/>
    </row>
    <row r="564" spans="2:3" ht="14.25">
      <c r="B564" s="94"/>
      <c r="C564" s="94"/>
    </row>
    <row r="565" spans="2:3" ht="14.25">
      <c r="B565" s="94"/>
      <c r="C565" s="94"/>
    </row>
    <row r="566" spans="2:3" ht="14.25">
      <c r="B566" s="94"/>
      <c r="C566" s="94"/>
    </row>
    <row r="567" spans="2:3" ht="14.25">
      <c r="B567" s="94"/>
      <c r="C567" s="94"/>
    </row>
    <row r="568" spans="2:3" ht="14.25">
      <c r="B568" s="94"/>
      <c r="C568" s="94"/>
    </row>
    <row r="569" spans="2:3" ht="14.25">
      <c r="B569" s="94"/>
      <c r="C569" s="94"/>
    </row>
    <row r="570" spans="2:3" ht="14.25">
      <c r="B570" s="94"/>
      <c r="C570" s="94"/>
    </row>
    <row r="571" spans="2:3" ht="14.25">
      <c r="B571" s="94"/>
      <c r="C571" s="94"/>
    </row>
    <row r="572" spans="2:3" ht="14.25">
      <c r="B572" s="94"/>
      <c r="C572" s="94"/>
    </row>
    <row r="573" spans="2:3" ht="14.25">
      <c r="B573" s="94"/>
      <c r="C573" s="94"/>
    </row>
    <row r="574" spans="2:3" ht="14.25">
      <c r="B574" s="94"/>
      <c r="C574" s="94"/>
    </row>
    <row r="575" spans="2:3" ht="14.25">
      <c r="B575" s="94"/>
      <c r="C575" s="94"/>
    </row>
    <row r="576" spans="2:3" ht="14.25">
      <c r="B576" s="94"/>
      <c r="C576" s="94"/>
    </row>
    <row r="577" spans="2:3" ht="14.25">
      <c r="B577" s="94"/>
      <c r="C577" s="94"/>
    </row>
    <row r="578" spans="2:3" ht="14.25">
      <c r="B578" s="94"/>
      <c r="C578" s="94"/>
    </row>
    <row r="579" spans="2:3" ht="14.25">
      <c r="B579" s="94"/>
      <c r="C579" s="94"/>
    </row>
    <row r="580" spans="2:3" ht="14.25">
      <c r="B580" s="94"/>
      <c r="C580" s="94"/>
    </row>
    <row r="581" spans="2:3" ht="14.25">
      <c r="B581" s="94"/>
      <c r="C581" s="94"/>
    </row>
    <row r="582" spans="2:3" ht="14.25">
      <c r="B582" s="94"/>
      <c r="C582" s="94"/>
    </row>
    <row r="583" spans="2:3" ht="14.25">
      <c r="B583" s="94"/>
      <c r="C583" s="94"/>
    </row>
    <row r="584" spans="2:3" ht="14.25">
      <c r="B584" s="94"/>
      <c r="C584" s="94"/>
    </row>
    <row r="585" spans="2:3" ht="14.25">
      <c r="B585" s="94"/>
      <c r="C585" s="94"/>
    </row>
    <row r="586" spans="2:3" ht="14.25">
      <c r="B586" s="94"/>
      <c r="C586" s="94"/>
    </row>
    <row r="587" spans="2:3" ht="14.25">
      <c r="B587" s="94"/>
      <c r="C587" s="94"/>
    </row>
    <row r="588" spans="2:3" ht="14.25">
      <c r="B588" s="94"/>
      <c r="C588" s="94"/>
    </row>
    <row r="589" spans="2:3" ht="14.25">
      <c r="B589" s="94"/>
      <c r="C589" s="94"/>
    </row>
    <row r="590" spans="2:3" ht="14.25">
      <c r="B590" s="94"/>
      <c r="C590" s="94"/>
    </row>
    <row r="591" spans="2:3" ht="14.25">
      <c r="B591" s="94"/>
      <c r="C591" s="94"/>
    </row>
    <row r="592" spans="2:3" ht="14.25">
      <c r="B592" s="94"/>
      <c r="C592" s="94"/>
    </row>
    <row r="593" spans="2:3" ht="14.25">
      <c r="B593" s="94"/>
      <c r="C593" s="94"/>
    </row>
    <row r="594" spans="2:3" ht="14.25">
      <c r="B594" s="94"/>
      <c r="C594" s="94"/>
    </row>
    <row r="595" spans="2:3" ht="14.25">
      <c r="B595" s="94"/>
      <c r="C595" s="94"/>
    </row>
    <row r="596" spans="2:3" ht="14.25">
      <c r="B596" s="94"/>
      <c r="C596" s="94"/>
    </row>
    <row r="597" spans="2:3" ht="14.25">
      <c r="B597" s="94"/>
      <c r="C597" s="94"/>
    </row>
    <row r="598" spans="2:3" ht="14.25">
      <c r="B598" s="94"/>
      <c r="C598" s="94"/>
    </row>
    <row r="599" spans="2:3" ht="14.25">
      <c r="B599" s="94"/>
      <c r="C599" s="94"/>
    </row>
    <row r="600" spans="2:3" ht="14.25">
      <c r="B600" s="94"/>
      <c r="C600" s="94"/>
    </row>
    <row r="601" spans="2:3" ht="14.25">
      <c r="B601" s="94"/>
      <c r="C601" s="94"/>
    </row>
    <row r="602" spans="2:3" ht="14.25">
      <c r="B602" s="94"/>
      <c r="C602" s="94"/>
    </row>
    <row r="603" spans="2:3" ht="14.25">
      <c r="B603" s="94"/>
      <c r="C603" s="94"/>
    </row>
    <row r="604" spans="2:3" ht="14.25">
      <c r="B604" s="94"/>
      <c r="C604" s="94"/>
    </row>
    <row r="605" spans="2:3" ht="14.25">
      <c r="B605" s="94"/>
      <c r="C605" s="94"/>
    </row>
    <row r="606" spans="2:3" ht="14.25">
      <c r="B606" s="94"/>
      <c r="C606" s="94"/>
    </row>
    <row r="607" spans="2:3" ht="14.25">
      <c r="B607" s="94"/>
      <c r="C607" s="94"/>
    </row>
    <row r="608" spans="2:3" ht="14.25">
      <c r="B608" s="94"/>
      <c r="C608" s="94"/>
    </row>
    <row r="609" spans="2:3" ht="14.25">
      <c r="B609" s="94"/>
      <c r="C609" s="94"/>
    </row>
    <row r="610" spans="2:3" ht="14.25">
      <c r="B610" s="94"/>
      <c r="C610" s="94"/>
    </row>
    <row r="611" spans="2:3" ht="14.25">
      <c r="B611" s="94"/>
      <c r="C611" s="94"/>
    </row>
    <row r="612" spans="2:3" ht="14.25">
      <c r="B612" s="94"/>
      <c r="C612" s="94"/>
    </row>
    <row r="613" spans="2:3" ht="14.25">
      <c r="B613" s="94"/>
      <c r="C613" s="94"/>
    </row>
    <row r="614" spans="2:3" ht="14.25">
      <c r="B614" s="94"/>
      <c r="C614" s="94"/>
    </row>
    <row r="615" spans="2:3" ht="14.25">
      <c r="B615" s="94"/>
      <c r="C615" s="94"/>
    </row>
    <row r="616" spans="2:3" ht="14.25">
      <c r="B616" s="94"/>
      <c r="C616" s="94"/>
    </row>
    <row r="617" spans="2:3" ht="14.25">
      <c r="B617" s="94"/>
      <c r="C617" s="94"/>
    </row>
    <row r="618" spans="2:3" ht="14.25">
      <c r="B618" s="94"/>
      <c r="C618" s="94"/>
    </row>
    <row r="619" spans="2:3" ht="14.25">
      <c r="B619" s="94"/>
      <c r="C619" s="94"/>
    </row>
    <row r="620" spans="2:3" ht="14.25">
      <c r="B620" s="94"/>
      <c r="C620" s="94"/>
    </row>
    <row r="621" spans="2:3" ht="14.25">
      <c r="B621" s="94"/>
      <c r="C621" s="94"/>
    </row>
    <row r="622" spans="2:3" ht="14.25">
      <c r="B622" s="94"/>
      <c r="C622" s="94"/>
    </row>
    <row r="623" spans="2:3" ht="14.25">
      <c r="B623" s="94"/>
      <c r="C623" s="94"/>
    </row>
    <row r="624" spans="2:3" ht="14.25">
      <c r="B624" s="94"/>
      <c r="C624" s="94"/>
    </row>
    <row r="625" spans="2:3" ht="14.25">
      <c r="B625" s="94"/>
      <c r="C625" s="94"/>
    </row>
    <row r="626" spans="2:3" ht="14.25">
      <c r="B626" s="94"/>
      <c r="C626" s="94"/>
    </row>
    <row r="627" spans="2:3" ht="14.25">
      <c r="B627" s="94"/>
      <c r="C627" s="94"/>
    </row>
    <row r="628" spans="2:3" ht="14.25">
      <c r="B628" s="94"/>
      <c r="C628" s="94"/>
    </row>
    <row r="629" spans="2:3" ht="14.25">
      <c r="B629" s="94"/>
      <c r="C629" s="94"/>
    </row>
    <row r="630" spans="2:3" ht="14.25">
      <c r="B630" s="94"/>
      <c r="C630" s="94"/>
    </row>
    <row r="631" spans="2:3" ht="14.25">
      <c r="B631" s="94"/>
      <c r="C631" s="94"/>
    </row>
    <row r="632" spans="2:3" ht="14.25">
      <c r="B632" s="94"/>
      <c r="C632" s="94"/>
    </row>
    <row r="633" spans="2:3" ht="14.25">
      <c r="B633" s="94"/>
      <c r="C633" s="94"/>
    </row>
    <row r="634" spans="2:3" ht="14.25">
      <c r="B634" s="94"/>
      <c r="C634" s="94"/>
    </row>
    <row r="635" spans="2:3" ht="14.25">
      <c r="B635" s="94"/>
      <c r="C635" s="94"/>
    </row>
    <row r="636" spans="2:3" ht="14.25">
      <c r="B636" s="94"/>
      <c r="C636" s="94"/>
    </row>
    <row r="637" spans="2:3" ht="14.25">
      <c r="B637" s="94"/>
      <c r="C637" s="94"/>
    </row>
    <row r="638" spans="2:3" ht="14.25">
      <c r="B638" s="94"/>
      <c r="C638" s="94"/>
    </row>
    <row r="639" spans="2:3" ht="14.25">
      <c r="B639" s="94"/>
      <c r="C639" s="94"/>
    </row>
    <row r="640" spans="2:3" ht="14.25">
      <c r="B640" s="94"/>
      <c r="C640" s="94"/>
    </row>
    <row r="641" spans="2:3" ht="14.25">
      <c r="B641" s="94"/>
      <c r="C641" s="94"/>
    </row>
    <row r="642" spans="2:3" ht="14.25">
      <c r="B642" s="94"/>
      <c r="C642" s="94"/>
    </row>
    <row r="643" spans="2:3" ht="14.25">
      <c r="B643" s="94"/>
      <c r="C643" s="94"/>
    </row>
    <row r="644" spans="2:3" ht="14.25">
      <c r="B644" s="94"/>
      <c r="C644" s="94"/>
    </row>
    <row r="645" spans="2:3" ht="14.25">
      <c r="B645" s="94"/>
      <c r="C645" s="94"/>
    </row>
    <row r="646" spans="2:3" ht="14.25">
      <c r="B646" s="94"/>
      <c r="C646" s="94"/>
    </row>
    <row r="647" spans="2:3" ht="14.25">
      <c r="B647" s="94"/>
      <c r="C647" s="94"/>
    </row>
    <row r="648" spans="2:3" ht="14.25">
      <c r="B648" s="94"/>
      <c r="C648" s="94"/>
    </row>
    <row r="649" spans="2:3" ht="14.25">
      <c r="B649" s="94"/>
      <c r="C649" s="94"/>
    </row>
    <row r="650" spans="2:3" ht="14.25">
      <c r="B650" s="94"/>
      <c r="C650" s="94"/>
    </row>
    <row r="651" spans="2:3" ht="14.25">
      <c r="B651" s="94"/>
      <c r="C651" s="94"/>
    </row>
    <row r="652" spans="2:3" ht="14.25">
      <c r="B652" s="94"/>
      <c r="C652" s="94"/>
    </row>
    <row r="653" spans="2:3" ht="14.25">
      <c r="B653" s="94"/>
      <c r="C653" s="94"/>
    </row>
    <row r="654" spans="2:3" ht="14.25">
      <c r="B654" s="94"/>
      <c r="C654" s="94"/>
    </row>
    <row r="655" spans="2:86" ht="14.25">
      <c r="B655" s="94"/>
      <c r="C655" s="94"/>
      <c r="AC655" s="129" t="s">
        <v>1073</v>
      </c>
      <c r="AD655" s="129" t="s">
        <v>1073</v>
      </c>
      <c r="AE655" s="129" t="s">
        <v>1073</v>
      </c>
      <c r="AF655" s="129" t="s">
        <v>1073</v>
      </c>
      <c r="AG655" s="129" t="s">
        <v>1073</v>
      </c>
      <c r="AH655" s="129" t="s">
        <v>1073</v>
      </c>
      <c r="AI655" s="129" t="s">
        <v>1073</v>
      </c>
      <c r="AJ655" s="129" t="s">
        <v>1073</v>
      </c>
      <c r="AK655" s="129" t="s">
        <v>1073</v>
      </c>
      <c r="AL655" s="129" t="s">
        <v>1073</v>
      </c>
      <c r="AM655" s="129" t="s">
        <v>1073</v>
      </c>
      <c r="AN655" s="129" t="s">
        <v>1073</v>
      </c>
      <c r="AO655" s="129" t="s">
        <v>1073</v>
      </c>
      <c r="AP655" s="129" t="s">
        <v>1073</v>
      </c>
      <c r="AQ655" s="129" t="s">
        <v>1073</v>
      </c>
      <c r="AR655" s="129" t="s">
        <v>1073</v>
      </c>
      <c r="AS655" s="129" t="s">
        <v>1073</v>
      </c>
      <c r="AT655" s="129" t="s">
        <v>1073</v>
      </c>
      <c r="AU655" s="129" t="s">
        <v>1073</v>
      </c>
      <c r="AV655" s="129" t="s">
        <v>1073</v>
      </c>
      <c r="AW655" s="129" t="s">
        <v>1073</v>
      </c>
      <c r="AX655" s="129" t="s">
        <v>1073</v>
      </c>
      <c r="AY655" s="129" t="s">
        <v>1073</v>
      </c>
      <c r="AZ655" s="129" t="s">
        <v>1073</v>
      </c>
      <c r="BA655" s="129" t="s">
        <v>1073</v>
      </c>
      <c r="BB655" s="129" t="s">
        <v>1073</v>
      </c>
      <c r="BC655" s="129" t="s">
        <v>1073</v>
      </c>
      <c r="BD655" s="129" t="s">
        <v>1073</v>
      </c>
      <c r="BE655" s="129" t="s">
        <v>1073</v>
      </c>
      <c r="BF655" s="129" t="s">
        <v>1073</v>
      </c>
      <c r="BG655" s="129" t="s">
        <v>1073</v>
      </c>
      <c r="BH655" s="129" t="s">
        <v>1073</v>
      </c>
      <c r="BI655" s="129" t="s">
        <v>1073</v>
      </c>
      <c r="BJ655" s="129" t="s">
        <v>1073</v>
      </c>
      <c r="BK655" s="129" t="s">
        <v>1073</v>
      </c>
      <c r="BL655" s="129" t="s">
        <v>1073</v>
      </c>
      <c r="BM655" s="129" t="s">
        <v>1073</v>
      </c>
      <c r="BN655" s="129" t="s">
        <v>1073</v>
      </c>
      <c r="BO655" s="129" t="s">
        <v>1073</v>
      </c>
      <c r="BP655" s="129" t="s">
        <v>1073</v>
      </c>
      <c r="BQ655" s="129" t="s">
        <v>1073</v>
      </c>
      <c r="BR655" s="129" t="s">
        <v>1073</v>
      </c>
      <c r="BS655" s="129" t="s">
        <v>1073</v>
      </c>
      <c r="BT655" s="129" t="s">
        <v>1073</v>
      </c>
      <c r="BU655" s="129" t="s">
        <v>1073</v>
      </c>
      <c r="BV655" s="129" t="s">
        <v>1073</v>
      </c>
      <c r="BW655" s="129" t="s">
        <v>1073</v>
      </c>
      <c r="BX655" s="129" t="s">
        <v>1073</v>
      </c>
      <c r="BY655" s="129"/>
      <c r="BZ655" s="129"/>
      <c r="CA655" s="129"/>
      <c r="CB655" s="129"/>
      <c r="CC655" s="129"/>
      <c r="CD655" s="129"/>
      <c r="CE655" s="129"/>
      <c r="CF655" s="129"/>
      <c r="CG655" s="129"/>
      <c r="CH655" s="129"/>
    </row>
    <row r="656" spans="1:99" ht="14.25">
      <c r="A656" s="129" t="s">
        <v>1073</v>
      </c>
      <c r="B656" s="167" t="s">
        <v>1073</v>
      </c>
      <c r="C656" s="167" t="s">
        <v>1073</v>
      </c>
      <c r="D656" s="129" t="s">
        <v>1073</v>
      </c>
      <c r="E656" s="129" t="s">
        <v>1073</v>
      </c>
      <c r="F656" s="129" t="s">
        <v>1073</v>
      </c>
      <c r="G656" s="129" t="s">
        <v>1073</v>
      </c>
      <c r="H656" s="129" t="s">
        <v>1073</v>
      </c>
      <c r="I656" s="129"/>
      <c r="J656" s="129" t="s">
        <v>1073</v>
      </c>
      <c r="K656" s="129" t="s">
        <v>1073</v>
      </c>
      <c r="L656" s="129" t="s">
        <v>1073</v>
      </c>
      <c r="M656" s="129" t="s">
        <v>1073</v>
      </c>
      <c r="N656" s="129" t="s">
        <v>1073</v>
      </c>
      <c r="O656" s="129" t="s">
        <v>1073</v>
      </c>
      <c r="P656" s="129" t="s">
        <v>1073</v>
      </c>
      <c r="Q656" s="129" t="s">
        <v>1073</v>
      </c>
      <c r="R656" s="129" t="s">
        <v>1073</v>
      </c>
      <c r="S656" s="129" t="s">
        <v>1073</v>
      </c>
      <c r="T656" s="129" t="s">
        <v>1073</v>
      </c>
      <c r="U656" s="129" t="s">
        <v>1073</v>
      </c>
      <c r="V656" s="129" t="s">
        <v>1073</v>
      </c>
      <c r="W656" s="129" t="s">
        <v>1073</v>
      </c>
      <c r="X656" s="129" t="s">
        <v>1073</v>
      </c>
      <c r="Y656" s="129" t="s">
        <v>1073</v>
      </c>
      <c r="Z656" s="129" t="s">
        <v>1073</v>
      </c>
      <c r="AA656" s="129" t="s">
        <v>1073</v>
      </c>
      <c r="AB656" s="129" t="s">
        <v>1073</v>
      </c>
      <c r="AC656" s="129" t="s">
        <v>1073</v>
      </c>
      <c r="AD656" s="129" t="s">
        <v>1073</v>
      </c>
      <c r="AE656" s="129" t="s">
        <v>1073</v>
      </c>
      <c r="AF656" s="129" t="s">
        <v>1073</v>
      </c>
      <c r="AG656" s="129" t="s">
        <v>1073</v>
      </c>
      <c r="AH656" s="129" t="s">
        <v>1073</v>
      </c>
      <c r="AI656" s="129" t="s">
        <v>1073</v>
      </c>
      <c r="AJ656" s="129" t="s">
        <v>1073</v>
      </c>
      <c r="AK656" s="129" t="s">
        <v>1073</v>
      </c>
      <c r="AL656" s="129" t="s">
        <v>1073</v>
      </c>
      <c r="AM656" s="129" t="s">
        <v>1073</v>
      </c>
      <c r="AN656" s="129" t="s">
        <v>1073</v>
      </c>
      <c r="AO656" s="129" t="s">
        <v>1073</v>
      </c>
      <c r="AP656" s="129" t="s">
        <v>1073</v>
      </c>
      <c r="AQ656" s="129" t="s">
        <v>1073</v>
      </c>
      <c r="AR656" s="129" t="s">
        <v>1073</v>
      </c>
      <c r="AS656" s="129" t="s">
        <v>1073</v>
      </c>
      <c r="AT656" s="129" t="s">
        <v>1073</v>
      </c>
      <c r="AU656" s="129" t="s">
        <v>1073</v>
      </c>
      <c r="AV656" s="129" t="s">
        <v>1073</v>
      </c>
      <c r="AW656" s="129" t="s">
        <v>1073</v>
      </c>
      <c r="AX656" s="129" t="s">
        <v>1073</v>
      </c>
      <c r="AY656" s="129" t="s">
        <v>1073</v>
      </c>
      <c r="AZ656" s="129" t="s">
        <v>1073</v>
      </c>
      <c r="BA656" s="129" t="s">
        <v>1073</v>
      </c>
      <c r="BB656" s="129" t="s">
        <v>1073</v>
      </c>
      <c r="BC656" s="129" t="s">
        <v>1073</v>
      </c>
      <c r="BD656" s="129" t="s">
        <v>1073</v>
      </c>
      <c r="BE656" s="129" t="s">
        <v>1073</v>
      </c>
      <c r="BF656" s="129" t="s">
        <v>1073</v>
      </c>
      <c r="BG656" s="129" t="s">
        <v>1073</v>
      </c>
      <c r="BH656" s="129" t="s">
        <v>1073</v>
      </c>
      <c r="BI656" s="129" t="s">
        <v>1073</v>
      </c>
      <c r="BJ656" s="129" t="s">
        <v>1073</v>
      </c>
      <c r="BK656" s="129" t="s">
        <v>1073</v>
      </c>
      <c r="BL656" s="129" t="s">
        <v>1073</v>
      </c>
      <c r="BM656" s="129" t="s">
        <v>1073</v>
      </c>
      <c r="BN656" s="129" t="s">
        <v>1073</v>
      </c>
      <c r="BO656" s="129" t="s">
        <v>1073</v>
      </c>
      <c r="BP656" s="129" t="s">
        <v>1073</v>
      </c>
      <c r="BQ656" s="129" t="s">
        <v>1073</v>
      </c>
      <c r="BR656" s="129" t="s">
        <v>1073</v>
      </c>
      <c r="BS656" s="129" t="s">
        <v>1073</v>
      </c>
      <c r="BT656" s="129" t="s">
        <v>1073</v>
      </c>
      <c r="BU656" s="129" t="s">
        <v>1073</v>
      </c>
      <c r="BV656" s="129" t="s">
        <v>1073</v>
      </c>
      <c r="BW656" s="129" t="s">
        <v>1073</v>
      </c>
      <c r="BX656" s="129" t="s">
        <v>1073</v>
      </c>
      <c r="BY656" s="129"/>
      <c r="BZ656" s="129"/>
      <c r="CA656" s="129"/>
      <c r="CB656" s="129"/>
      <c r="CC656" s="129"/>
      <c r="CD656" s="129"/>
      <c r="CE656" s="129"/>
      <c r="CF656" s="129"/>
      <c r="CG656" s="129"/>
      <c r="CH656" s="129"/>
      <c r="CI656" s="129" t="s">
        <v>1073</v>
      </c>
      <c r="CJ656" s="129" t="s">
        <v>1073</v>
      </c>
      <c r="CK656" s="129" t="s">
        <v>1073</v>
      </c>
      <c r="CL656" s="129" t="s">
        <v>1073</v>
      </c>
      <c r="CM656" s="129" t="s">
        <v>1073</v>
      </c>
      <c r="CN656" s="129" t="s">
        <v>1073</v>
      </c>
      <c r="CO656" s="129" t="s">
        <v>1073</v>
      </c>
      <c r="CP656" s="129" t="s">
        <v>1073</v>
      </c>
      <c r="CQ656" s="129" t="s">
        <v>1073</v>
      </c>
      <c r="CR656" s="129" t="s">
        <v>1073</v>
      </c>
      <c r="CS656" s="129" t="s">
        <v>1073</v>
      </c>
      <c r="CT656" s="129" t="s">
        <v>1073</v>
      </c>
      <c r="CU656" s="129" t="s">
        <v>1073</v>
      </c>
    </row>
    <row r="657" spans="1:99" ht="14.25">
      <c r="A657" s="129" t="s">
        <v>1073</v>
      </c>
      <c r="B657" s="167" t="s">
        <v>1073</v>
      </c>
      <c r="C657" s="167" t="s">
        <v>1073</v>
      </c>
      <c r="D657" s="129" t="s">
        <v>1073</v>
      </c>
      <c r="E657" s="129" t="s">
        <v>1073</v>
      </c>
      <c r="F657" s="129" t="s">
        <v>1073</v>
      </c>
      <c r="G657" s="129" t="s">
        <v>1073</v>
      </c>
      <c r="H657" s="129" t="s">
        <v>1073</v>
      </c>
      <c r="I657" s="129"/>
      <c r="J657" s="129" t="s">
        <v>1073</v>
      </c>
      <c r="K657" s="129" t="s">
        <v>1073</v>
      </c>
      <c r="L657" s="129" t="s">
        <v>1073</v>
      </c>
      <c r="M657" s="129" t="s">
        <v>1073</v>
      </c>
      <c r="N657" s="129" t="s">
        <v>1073</v>
      </c>
      <c r="O657" s="129" t="s">
        <v>1073</v>
      </c>
      <c r="P657" s="129" t="s">
        <v>1073</v>
      </c>
      <c r="Q657" s="129" t="s">
        <v>1073</v>
      </c>
      <c r="R657" s="129" t="s">
        <v>1073</v>
      </c>
      <c r="S657" s="129" t="s">
        <v>1073</v>
      </c>
      <c r="T657" s="129" t="s">
        <v>1073</v>
      </c>
      <c r="U657" s="129" t="s">
        <v>1073</v>
      </c>
      <c r="V657" s="129" t="s">
        <v>1073</v>
      </c>
      <c r="W657" s="129" t="s">
        <v>1073</v>
      </c>
      <c r="X657" s="129" t="s">
        <v>1073</v>
      </c>
      <c r="Y657" s="129" t="s">
        <v>1073</v>
      </c>
      <c r="Z657" s="129" t="s">
        <v>1073</v>
      </c>
      <c r="AA657" s="129" t="s">
        <v>1073</v>
      </c>
      <c r="AB657" s="129" t="s">
        <v>1073</v>
      </c>
      <c r="AC657" s="129" t="s">
        <v>1073</v>
      </c>
      <c r="AD657" s="129" t="s">
        <v>1073</v>
      </c>
      <c r="AE657" s="129" t="s">
        <v>1073</v>
      </c>
      <c r="AF657" s="129" t="s">
        <v>1073</v>
      </c>
      <c r="AG657" s="129" t="s">
        <v>1073</v>
      </c>
      <c r="AH657" s="129" t="s">
        <v>1073</v>
      </c>
      <c r="AI657" s="129" t="s">
        <v>1073</v>
      </c>
      <c r="AJ657" s="129" t="s">
        <v>1073</v>
      </c>
      <c r="AK657" s="129" t="s">
        <v>1073</v>
      </c>
      <c r="AL657" s="129" t="s">
        <v>1073</v>
      </c>
      <c r="AM657" s="129" t="s">
        <v>1073</v>
      </c>
      <c r="AN657" s="129" t="s">
        <v>1073</v>
      </c>
      <c r="AO657" s="129" t="s">
        <v>1073</v>
      </c>
      <c r="AP657" s="129" t="s">
        <v>1073</v>
      </c>
      <c r="AQ657" s="129" t="s">
        <v>1073</v>
      </c>
      <c r="AR657" s="129" t="s">
        <v>1073</v>
      </c>
      <c r="AS657" s="129" t="s">
        <v>1073</v>
      </c>
      <c r="AT657" s="129" t="s">
        <v>1073</v>
      </c>
      <c r="AU657" s="129" t="s">
        <v>1073</v>
      </c>
      <c r="AV657" s="129" t="s">
        <v>1073</v>
      </c>
      <c r="AW657" s="129" t="s">
        <v>1073</v>
      </c>
      <c r="AX657" s="129" t="s">
        <v>1073</v>
      </c>
      <c r="AY657" s="129" t="s">
        <v>1073</v>
      </c>
      <c r="AZ657" s="129" t="s">
        <v>1073</v>
      </c>
      <c r="BA657" s="129" t="s">
        <v>1073</v>
      </c>
      <c r="BB657" s="129" t="s">
        <v>1073</v>
      </c>
      <c r="BC657" s="129" t="s">
        <v>1073</v>
      </c>
      <c r="BD657" s="129" t="s">
        <v>1073</v>
      </c>
      <c r="BE657" s="129" t="s">
        <v>1073</v>
      </c>
      <c r="BF657" s="129" t="s">
        <v>1073</v>
      </c>
      <c r="BG657" s="129" t="s">
        <v>1073</v>
      </c>
      <c r="BH657" s="129" t="s">
        <v>1073</v>
      </c>
      <c r="BI657" s="129" t="s">
        <v>1073</v>
      </c>
      <c r="BJ657" s="129" t="s">
        <v>1073</v>
      </c>
      <c r="BK657" s="129" t="s">
        <v>1073</v>
      </c>
      <c r="BL657" s="129" t="s">
        <v>1073</v>
      </c>
      <c r="BM657" s="129" t="s">
        <v>1073</v>
      </c>
      <c r="BN657" s="129" t="s">
        <v>1073</v>
      </c>
      <c r="BO657" s="129" t="s">
        <v>1073</v>
      </c>
      <c r="BP657" s="129" t="s">
        <v>1073</v>
      </c>
      <c r="BQ657" s="129" t="s">
        <v>1073</v>
      </c>
      <c r="BR657" s="129" t="s">
        <v>1073</v>
      </c>
      <c r="BS657" s="129" t="s">
        <v>1073</v>
      </c>
      <c r="BT657" s="129" t="s">
        <v>1073</v>
      </c>
      <c r="BU657" s="129" t="s">
        <v>1073</v>
      </c>
      <c r="BV657" s="129" t="s">
        <v>1073</v>
      </c>
      <c r="BW657" s="129" t="s">
        <v>1073</v>
      </c>
      <c r="BX657" s="129" t="s">
        <v>1073</v>
      </c>
      <c r="BY657" s="129"/>
      <c r="BZ657" s="129"/>
      <c r="CA657" s="129"/>
      <c r="CB657" s="129"/>
      <c r="CC657" s="129"/>
      <c r="CD657" s="129"/>
      <c r="CE657" s="129"/>
      <c r="CF657" s="129"/>
      <c r="CG657" s="129"/>
      <c r="CH657" s="129"/>
      <c r="CI657" s="129" t="s">
        <v>1073</v>
      </c>
      <c r="CJ657" s="129" t="s">
        <v>1073</v>
      </c>
      <c r="CK657" s="129" t="s">
        <v>1073</v>
      </c>
      <c r="CL657" s="129" t="s">
        <v>1073</v>
      </c>
      <c r="CM657" s="129" t="s">
        <v>1073</v>
      </c>
      <c r="CN657" s="129" t="s">
        <v>1073</v>
      </c>
      <c r="CO657" s="129" t="s">
        <v>1073</v>
      </c>
      <c r="CP657" s="129" t="s">
        <v>1073</v>
      </c>
      <c r="CQ657" s="129" t="s">
        <v>1073</v>
      </c>
      <c r="CR657" s="129" t="s">
        <v>1073</v>
      </c>
      <c r="CS657" s="129" t="s">
        <v>1073</v>
      </c>
      <c r="CT657" s="129" t="s">
        <v>1073</v>
      </c>
      <c r="CU657" s="129" t="s">
        <v>1073</v>
      </c>
    </row>
    <row r="658" spans="1:99" ht="14.25">
      <c r="A658" s="129" t="s">
        <v>1073</v>
      </c>
      <c r="B658" s="167" t="s">
        <v>1073</v>
      </c>
      <c r="C658" s="167" t="s">
        <v>1073</v>
      </c>
      <c r="D658" s="129" t="s">
        <v>1073</v>
      </c>
      <c r="E658" s="129" t="s">
        <v>1073</v>
      </c>
      <c r="F658" s="129" t="s">
        <v>1073</v>
      </c>
      <c r="G658" s="129" t="s">
        <v>1073</v>
      </c>
      <c r="H658" s="129" t="s">
        <v>1073</v>
      </c>
      <c r="I658" s="129"/>
      <c r="J658" s="129" t="s">
        <v>1073</v>
      </c>
      <c r="K658" s="129" t="s">
        <v>1073</v>
      </c>
      <c r="L658" s="129" t="s">
        <v>1073</v>
      </c>
      <c r="M658" s="129" t="s">
        <v>1073</v>
      </c>
      <c r="N658" s="129" t="s">
        <v>1073</v>
      </c>
      <c r="O658" s="129" t="s">
        <v>1073</v>
      </c>
      <c r="P658" s="129" t="s">
        <v>1073</v>
      </c>
      <c r="Q658" s="129" t="s">
        <v>1073</v>
      </c>
      <c r="R658" s="129" t="s">
        <v>1073</v>
      </c>
      <c r="S658" s="129" t="s">
        <v>1073</v>
      </c>
      <c r="T658" s="129" t="s">
        <v>1073</v>
      </c>
      <c r="U658" s="129" t="s">
        <v>1073</v>
      </c>
      <c r="V658" s="129" t="s">
        <v>1073</v>
      </c>
      <c r="W658" s="129" t="s">
        <v>1073</v>
      </c>
      <c r="X658" s="129" t="s">
        <v>1073</v>
      </c>
      <c r="Y658" s="129" t="s">
        <v>1073</v>
      </c>
      <c r="Z658" s="129" t="s">
        <v>1073</v>
      </c>
      <c r="AA658" s="129" t="s">
        <v>1073</v>
      </c>
      <c r="AB658" s="129" t="s">
        <v>1073</v>
      </c>
      <c r="AC658" s="129" t="s">
        <v>1073</v>
      </c>
      <c r="AD658" s="129" t="s">
        <v>1073</v>
      </c>
      <c r="AE658" s="129" t="s">
        <v>1073</v>
      </c>
      <c r="AF658" s="129" t="s">
        <v>1073</v>
      </c>
      <c r="AG658" s="129" t="s">
        <v>1073</v>
      </c>
      <c r="AH658" s="129" t="s">
        <v>1073</v>
      </c>
      <c r="AI658" s="129" t="s">
        <v>1073</v>
      </c>
      <c r="AJ658" s="129" t="s">
        <v>1073</v>
      </c>
      <c r="AK658" s="129" t="s">
        <v>1073</v>
      </c>
      <c r="AL658" s="129" t="s">
        <v>1073</v>
      </c>
      <c r="AM658" s="129" t="s">
        <v>1073</v>
      </c>
      <c r="AN658" s="129" t="s">
        <v>1073</v>
      </c>
      <c r="AO658" s="129" t="s">
        <v>1073</v>
      </c>
      <c r="AP658" s="129" t="s">
        <v>1073</v>
      </c>
      <c r="AQ658" s="129" t="s">
        <v>1073</v>
      </c>
      <c r="AR658" s="129" t="s">
        <v>1073</v>
      </c>
      <c r="AS658" s="129" t="s">
        <v>1073</v>
      </c>
      <c r="AT658" s="129" t="s">
        <v>1073</v>
      </c>
      <c r="AU658" s="129" t="s">
        <v>1073</v>
      </c>
      <c r="AV658" s="129" t="s">
        <v>1073</v>
      </c>
      <c r="AW658" s="129" t="s">
        <v>1073</v>
      </c>
      <c r="AX658" s="129" t="s">
        <v>1073</v>
      </c>
      <c r="AY658" s="129" t="s">
        <v>1073</v>
      </c>
      <c r="AZ658" s="129" t="s">
        <v>1073</v>
      </c>
      <c r="BA658" s="129" t="s">
        <v>1073</v>
      </c>
      <c r="BB658" s="129" t="s">
        <v>1073</v>
      </c>
      <c r="BC658" s="129" t="s">
        <v>1073</v>
      </c>
      <c r="BD658" s="129" t="s">
        <v>1073</v>
      </c>
      <c r="BE658" s="129" t="s">
        <v>1073</v>
      </c>
      <c r="BF658" s="129" t="s">
        <v>1073</v>
      </c>
      <c r="BG658" s="129" t="s">
        <v>1073</v>
      </c>
      <c r="BH658" s="129" t="s">
        <v>1073</v>
      </c>
      <c r="BI658" s="129" t="s">
        <v>1073</v>
      </c>
      <c r="BJ658" s="129" t="s">
        <v>1073</v>
      </c>
      <c r="BK658" s="129" t="s">
        <v>1073</v>
      </c>
      <c r="BL658" s="129" t="s">
        <v>1073</v>
      </c>
      <c r="BM658" s="129" t="s">
        <v>1073</v>
      </c>
      <c r="BN658" s="129" t="s">
        <v>1073</v>
      </c>
      <c r="BO658" s="129" t="s">
        <v>1073</v>
      </c>
      <c r="BP658" s="129" t="s">
        <v>1073</v>
      </c>
      <c r="BQ658" s="129" t="s">
        <v>1073</v>
      </c>
      <c r="BR658" s="129" t="s">
        <v>1073</v>
      </c>
      <c r="BS658" s="129" t="s">
        <v>1073</v>
      </c>
      <c r="BT658" s="129" t="s">
        <v>1073</v>
      </c>
      <c r="BU658" s="129" t="s">
        <v>1073</v>
      </c>
      <c r="BV658" s="129" t="s">
        <v>1073</v>
      </c>
      <c r="BW658" s="129" t="s">
        <v>1073</v>
      </c>
      <c r="BX658" s="129" t="s">
        <v>1073</v>
      </c>
      <c r="BY658" s="129"/>
      <c r="BZ658" s="129"/>
      <c r="CA658" s="129"/>
      <c r="CB658" s="129"/>
      <c r="CC658" s="129"/>
      <c r="CD658" s="129"/>
      <c r="CE658" s="129"/>
      <c r="CF658" s="129"/>
      <c r="CG658" s="129"/>
      <c r="CH658" s="129"/>
      <c r="CI658" s="129" t="s">
        <v>1073</v>
      </c>
      <c r="CJ658" s="129" t="s">
        <v>1073</v>
      </c>
      <c r="CK658" s="129" t="s">
        <v>1073</v>
      </c>
      <c r="CL658" s="129" t="s">
        <v>1073</v>
      </c>
      <c r="CM658" s="129" t="s">
        <v>1073</v>
      </c>
      <c r="CN658" s="129" t="s">
        <v>1073</v>
      </c>
      <c r="CO658" s="129" t="s">
        <v>1073</v>
      </c>
      <c r="CP658" s="129" t="s">
        <v>1073</v>
      </c>
      <c r="CQ658" s="129" t="s">
        <v>1073</v>
      </c>
      <c r="CR658" s="129" t="s">
        <v>1073</v>
      </c>
      <c r="CS658" s="129" t="s">
        <v>1073</v>
      </c>
      <c r="CT658" s="129" t="s">
        <v>1073</v>
      </c>
      <c r="CU658" s="129" t="s">
        <v>1073</v>
      </c>
    </row>
    <row r="659" spans="1:99" ht="14.25">
      <c r="A659" s="129" t="s">
        <v>1073</v>
      </c>
      <c r="B659" s="167" t="s">
        <v>1073</v>
      </c>
      <c r="C659" s="167" t="s">
        <v>1073</v>
      </c>
      <c r="D659" s="129" t="s">
        <v>1073</v>
      </c>
      <c r="E659" s="129" t="s">
        <v>1073</v>
      </c>
      <c r="F659" s="129" t="s">
        <v>1073</v>
      </c>
      <c r="G659" s="129" t="s">
        <v>1073</v>
      </c>
      <c r="H659" s="129" t="s">
        <v>1073</v>
      </c>
      <c r="I659" s="129"/>
      <c r="J659" s="129" t="s">
        <v>1073</v>
      </c>
      <c r="K659" s="129" t="s">
        <v>1073</v>
      </c>
      <c r="L659" s="129" t="s">
        <v>1073</v>
      </c>
      <c r="M659" s="129" t="s">
        <v>1073</v>
      </c>
      <c r="N659" s="129" t="s">
        <v>1073</v>
      </c>
      <c r="O659" s="129" t="s">
        <v>1073</v>
      </c>
      <c r="P659" s="129" t="s">
        <v>1073</v>
      </c>
      <c r="Q659" s="129" t="s">
        <v>1073</v>
      </c>
      <c r="R659" s="129" t="s">
        <v>1073</v>
      </c>
      <c r="S659" s="129" t="s">
        <v>1073</v>
      </c>
      <c r="T659" s="129" t="s">
        <v>1073</v>
      </c>
      <c r="U659" s="129" t="s">
        <v>1073</v>
      </c>
      <c r="V659" s="129" t="s">
        <v>1073</v>
      </c>
      <c r="W659" s="129" t="s">
        <v>1073</v>
      </c>
      <c r="X659" s="129" t="s">
        <v>1073</v>
      </c>
      <c r="Y659" s="129" t="s">
        <v>1073</v>
      </c>
      <c r="Z659" s="129" t="s">
        <v>1073</v>
      </c>
      <c r="AA659" s="129" t="s">
        <v>1073</v>
      </c>
      <c r="AB659" s="129" t="s">
        <v>1073</v>
      </c>
      <c r="AC659" s="129" t="s">
        <v>1073</v>
      </c>
      <c r="AD659" s="129" t="s">
        <v>1073</v>
      </c>
      <c r="AE659" s="129" t="s">
        <v>1073</v>
      </c>
      <c r="AF659" s="129" t="s">
        <v>1073</v>
      </c>
      <c r="AG659" s="129" t="s">
        <v>1073</v>
      </c>
      <c r="AH659" s="129" t="s">
        <v>1073</v>
      </c>
      <c r="AI659" s="129" t="s">
        <v>1073</v>
      </c>
      <c r="AJ659" s="129" t="s">
        <v>1073</v>
      </c>
      <c r="AK659" s="129" t="s">
        <v>1073</v>
      </c>
      <c r="AL659" s="129" t="s">
        <v>1073</v>
      </c>
      <c r="AM659" s="129" t="s">
        <v>1073</v>
      </c>
      <c r="AN659" s="129" t="s">
        <v>1073</v>
      </c>
      <c r="AO659" s="129" t="s">
        <v>1073</v>
      </c>
      <c r="AP659" s="129" t="s">
        <v>1073</v>
      </c>
      <c r="AQ659" s="129" t="s">
        <v>1073</v>
      </c>
      <c r="AR659" s="129" t="s">
        <v>1073</v>
      </c>
      <c r="AS659" s="129" t="s">
        <v>1073</v>
      </c>
      <c r="AT659" s="129" t="s">
        <v>1073</v>
      </c>
      <c r="AU659" s="129" t="s">
        <v>1073</v>
      </c>
      <c r="AV659" s="129" t="s">
        <v>1073</v>
      </c>
      <c r="AW659" s="129" t="s">
        <v>1073</v>
      </c>
      <c r="AX659" s="129" t="s">
        <v>1073</v>
      </c>
      <c r="AY659" s="129" t="s">
        <v>1073</v>
      </c>
      <c r="AZ659" s="129" t="s">
        <v>1073</v>
      </c>
      <c r="BA659" s="129" t="s">
        <v>1073</v>
      </c>
      <c r="BB659" s="129" t="s">
        <v>1073</v>
      </c>
      <c r="BC659" s="129" t="s">
        <v>1073</v>
      </c>
      <c r="BD659" s="129" t="s">
        <v>1073</v>
      </c>
      <c r="BE659" s="129" t="s">
        <v>1073</v>
      </c>
      <c r="BF659" s="129" t="s">
        <v>1073</v>
      </c>
      <c r="BG659" s="129" t="s">
        <v>1073</v>
      </c>
      <c r="BH659" s="129" t="s">
        <v>1073</v>
      </c>
      <c r="BI659" s="129" t="s">
        <v>1073</v>
      </c>
      <c r="BJ659" s="129" t="s">
        <v>1073</v>
      </c>
      <c r="BK659" s="129" t="s">
        <v>1073</v>
      </c>
      <c r="BL659" s="129" t="s">
        <v>1073</v>
      </c>
      <c r="BM659" s="129" t="s">
        <v>1073</v>
      </c>
      <c r="BN659" s="129" t="s">
        <v>1073</v>
      </c>
      <c r="BO659" s="129" t="s">
        <v>1073</v>
      </c>
      <c r="BP659" s="129" t="s">
        <v>1073</v>
      </c>
      <c r="BQ659" s="129" t="s">
        <v>1073</v>
      </c>
      <c r="BR659" s="129" t="s">
        <v>1073</v>
      </c>
      <c r="BS659" s="129" t="s">
        <v>1073</v>
      </c>
      <c r="BT659" s="129" t="s">
        <v>1073</v>
      </c>
      <c r="BU659" s="129" t="s">
        <v>1073</v>
      </c>
      <c r="BV659" s="129" t="s">
        <v>1073</v>
      </c>
      <c r="BW659" s="129" t="s">
        <v>1073</v>
      </c>
      <c r="BX659" s="129" t="s">
        <v>1073</v>
      </c>
      <c r="BY659" s="129"/>
      <c r="BZ659" s="129"/>
      <c r="CA659" s="129"/>
      <c r="CB659" s="129"/>
      <c r="CC659" s="129"/>
      <c r="CD659" s="129"/>
      <c r="CE659" s="129"/>
      <c r="CF659" s="129"/>
      <c r="CG659" s="129"/>
      <c r="CH659" s="129"/>
      <c r="CI659" s="129" t="s">
        <v>1073</v>
      </c>
      <c r="CJ659" s="129" t="s">
        <v>1073</v>
      </c>
      <c r="CK659" s="129" t="s">
        <v>1073</v>
      </c>
      <c r="CL659" s="129" t="s">
        <v>1073</v>
      </c>
      <c r="CM659" s="129" t="s">
        <v>1073</v>
      </c>
      <c r="CN659" s="129" t="s">
        <v>1073</v>
      </c>
      <c r="CO659" s="129" t="s">
        <v>1073</v>
      </c>
      <c r="CP659" s="129" t="s">
        <v>1073</v>
      </c>
      <c r="CQ659" s="129" t="s">
        <v>1073</v>
      </c>
      <c r="CR659" s="129" t="s">
        <v>1073</v>
      </c>
      <c r="CS659" s="129" t="s">
        <v>1073</v>
      </c>
      <c r="CT659" s="129" t="s">
        <v>1073</v>
      </c>
      <c r="CU659" s="129" t="s">
        <v>1073</v>
      </c>
    </row>
    <row r="660" spans="1:99" ht="14.25">
      <c r="A660" s="129" t="s">
        <v>1073</v>
      </c>
      <c r="B660" s="167" t="s">
        <v>1073</v>
      </c>
      <c r="C660" s="167" t="s">
        <v>1073</v>
      </c>
      <c r="D660" s="129" t="s">
        <v>1073</v>
      </c>
      <c r="E660" s="129" t="s">
        <v>1073</v>
      </c>
      <c r="F660" s="129" t="s">
        <v>1073</v>
      </c>
      <c r="G660" s="129" t="s">
        <v>1073</v>
      </c>
      <c r="H660" s="129" t="s">
        <v>1073</v>
      </c>
      <c r="I660" s="129"/>
      <c r="J660" s="129" t="s">
        <v>1073</v>
      </c>
      <c r="K660" s="129" t="s">
        <v>1073</v>
      </c>
      <c r="L660" s="129" t="s">
        <v>1073</v>
      </c>
      <c r="M660" s="129" t="s">
        <v>1073</v>
      </c>
      <c r="N660" s="129" t="s">
        <v>1073</v>
      </c>
      <c r="O660" s="129" t="s">
        <v>1073</v>
      </c>
      <c r="P660" s="129" t="s">
        <v>1073</v>
      </c>
      <c r="Q660" s="129" t="s">
        <v>1073</v>
      </c>
      <c r="R660" s="129" t="s">
        <v>1073</v>
      </c>
      <c r="S660" s="129" t="s">
        <v>1073</v>
      </c>
      <c r="T660" s="129" t="s">
        <v>1073</v>
      </c>
      <c r="U660" s="129" t="s">
        <v>1073</v>
      </c>
      <c r="V660" s="129" t="s">
        <v>1073</v>
      </c>
      <c r="W660" s="129" t="s">
        <v>1073</v>
      </c>
      <c r="X660" s="129" t="s">
        <v>1073</v>
      </c>
      <c r="Y660" s="129" t="s">
        <v>1073</v>
      </c>
      <c r="Z660" s="129" t="s">
        <v>1073</v>
      </c>
      <c r="AA660" s="129" t="s">
        <v>1073</v>
      </c>
      <c r="AB660" s="129" t="s">
        <v>1073</v>
      </c>
      <c r="AC660" s="129" t="s">
        <v>1073</v>
      </c>
      <c r="AD660" s="129" t="s">
        <v>1073</v>
      </c>
      <c r="AE660" s="129" t="s">
        <v>1073</v>
      </c>
      <c r="AF660" s="129" t="s">
        <v>1073</v>
      </c>
      <c r="AG660" s="129" t="s">
        <v>1073</v>
      </c>
      <c r="AH660" s="129" t="s">
        <v>1073</v>
      </c>
      <c r="AI660" s="129" t="s">
        <v>1073</v>
      </c>
      <c r="AJ660" s="129" t="s">
        <v>1073</v>
      </c>
      <c r="AK660" s="129" t="s">
        <v>1073</v>
      </c>
      <c r="AL660" s="129" t="s">
        <v>1073</v>
      </c>
      <c r="AM660" s="129" t="s">
        <v>1073</v>
      </c>
      <c r="AN660" s="129" t="s">
        <v>1073</v>
      </c>
      <c r="AO660" s="129" t="s">
        <v>1073</v>
      </c>
      <c r="AP660" s="129" t="s">
        <v>1073</v>
      </c>
      <c r="AQ660" s="129" t="s">
        <v>1073</v>
      </c>
      <c r="AR660" s="129" t="s">
        <v>1073</v>
      </c>
      <c r="AS660" s="129" t="s">
        <v>1073</v>
      </c>
      <c r="AT660" s="129" t="s">
        <v>1073</v>
      </c>
      <c r="AU660" s="129" t="s">
        <v>1073</v>
      </c>
      <c r="AV660" s="129" t="s">
        <v>1073</v>
      </c>
      <c r="AW660" s="129" t="s">
        <v>1073</v>
      </c>
      <c r="AX660" s="129" t="s">
        <v>1073</v>
      </c>
      <c r="AY660" s="129" t="s">
        <v>1073</v>
      </c>
      <c r="AZ660" s="129" t="s">
        <v>1073</v>
      </c>
      <c r="BA660" s="129" t="s">
        <v>1073</v>
      </c>
      <c r="BB660" s="129" t="s">
        <v>1073</v>
      </c>
      <c r="BC660" s="129" t="s">
        <v>1073</v>
      </c>
      <c r="BD660" s="129" t="s">
        <v>1073</v>
      </c>
      <c r="BE660" s="129" t="s">
        <v>1073</v>
      </c>
      <c r="BF660" s="129" t="s">
        <v>1073</v>
      </c>
      <c r="BG660" s="129" t="s">
        <v>1073</v>
      </c>
      <c r="BH660" s="129" t="s">
        <v>1073</v>
      </c>
      <c r="BI660" s="129" t="s">
        <v>1073</v>
      </c>
      <c r="BJ660" s="129" t="s">
        <v>1073</v>
      </c>
      <c r="BK660" s="129" t="s">
        <v>1073</v>
      </c>
      <c r="BL660" s="129" t="s">
        <v>1073</v>
      </c>
      <c r="BM660" s="129" t="s">
        <v>1073</v>
      </c>
      <c r="BN660" s="129" t="s">
        <v>1073</v>
      </c>
      <c r="BO660" s="129" t="s">
        <v>1073</v>
      </c>
      <c r="BP660" s="129" t="s">
        <v>1073</v>
      </c>
      <c r="BQ660" s="129" t="s">
        <v>1073</v>
      </c>
      <c r="BR660" s="129" t="s">
        <v>1073</v>
      </c>
      <c r="BS660" s="129" t="s">
        <v>1073</v>
      </c>
      <c r="BT660" s="129" t="s">
        <v>1073</v>
      </c>
      <c r="BU660" s="129" t="s">
        <v>1073</v>
      </c>
      <c r="BV660" s="129" t="s">
        <v>1073</v>
      </c>
      <c r="BW660" s="129" t="s">
        <v>1073</v>
      </c>
      <c r="BX660" s="129" t="s">
        <v>1073</v>
      </c>
      <c r="BY660" s="129"/>
      <c r="BZ660" s="129"/>
      <c r="CA660" s="129"/>
      <c r="CB660" s="129"/>
      <c r="CC660" s="129"/>
      <c r="CD660" s="129"/>
      <c r="CE660" s="129"/>
      <c r="CF660" s="129"/>
      <c r="CG660" s="129"/>
      <c r="CH660" s="129"/>
      <c r="CI660" s="129" t="s">
        <v>1073</v>
      </c>
      <c r="CJ660" s="129" t="s">
        <v>1073</v>
      </c>
      <c r="CK660" s="129" t="s">
        <v>1073</v>
      </c>
      <c r="CL660" s="129" t="s">
        <v>1073</v>
      </c>
      <c r="CM660" s="129" t="s">
        <v>1073</v>
      </c>
      <c r="CN660" s="129" t="s">
        <v>1073</v>
      </c>
      <c r="CO660" s="129" t="s">
        <v>1073</v>
      </c>
      <c r="CP660" s="129" t="s">
        <v>1073</v>
      </c>
      <c r="CQ660" s="129" t="s">
        <v>1073</v>
      </c>
      <c r="CR660" s="129" t="s">
        <v>1073</v>
      </c>
      <c r="CS660" s="129" t="s">
        <v>1073</v>
      </c>
      <c r="CT660" s="129" t="s">
        <v>1073</v>
      </c>
      <c r="CU660" s="129" t="s">
        <v>1073</v>
      </c>
    </row>
    <row r="661" spans="1:99" ht="14.25">
      <c r="A661" s="129" t="s">
        <v>1073</v>
      </c>
      <c r="B661" s="167" t="s">
        <v>1073</v>
      </c>
      <c r="C661" s="167" t="s">
        <v>1073</v>
      </c>
      <c r="D661" s="129" t="s">
        <v>1073</v>
      </c>
      <c r="E661" s="129" t="s">
        <v>1073</v>
      </c>
      <c r="F661" s="129" t="s">
        <v>1073</v>
      </c>
      <c r="G661" s="129" t="s">
        <v>1073</v>
      </c>
      <c r="H661" s="129" t="s">
        <v>1073</v>
      </c>
      <c r="I661" s="129"/>
      <c r="J661" s="129" t="s">
        <v>1073</v>
      </c>
      <c r="K661" s="129" t="s">
        <v>1073</v>
      </c>
      <c r="L661" s="129" t="s">
        <v>1073</v>
      </c>
      <c r="M661" s="129" t="s">
        <v>1073</v>
      </c>
      <c r="N661" s="129" t="s">
        <v>1073</v>
      </c>
      <c r="O661" s="129" t="s">
        <v>1073</v>
      </c>
      <c r="P661" s="129" t="s">
        <v>1073</v>
      </c>
      <c r="Q661" s="129" t="s">
        <v>1073</v>
      </c>
      <c r="R661" s="129" t="s">
        <v>1073</v>
      </c>
      <c r="S661" s="129" t="s">
        <v>1073</v>
      </c>
      <c r="T661" s="129" t="s">
        <v>1073</v>
      </c>
      <c r="U661" s="129" t="s">
        <v>1073</v>
      </c>
      <c r="V661" s="129" t="s">
        <v>1073</v>
      </c>
      <c r="W661" s="129" t="s">
        <v>1073</v>
      </c>
      <c r="X661" s="129" t="s">
        <v>1073</v>
      </c>
      <c r="Y661" s="129" t="s">
        <v>1073</v>
      </c>
      <c r="Z661" s="129" t="s">
        <v>1073</v>
      </c>
      <c r="AA661" s="129" t="s">
        <v>1073</v>
      </c>
      <c r="AB661" s="129" t="s">
        <v>1073</v>
      </c>
      <c r="AC661" s="129" t="s">
        <v>1073</v>
      </c>
      <c r="AD661" s="129" t="s">
        <v>1073</v>
      </c>
      <c r="AE661" s="129" t="s">
        <v>1073</v>
      </c>
      <c r="AF661" s="129" t="s">
        <v>1073</v>
      </c>
      <c r="AG661" s="129" t="s">
        <v>1073</v>
      </c>
      <c r="AH661" s="129" t="s">
        <v>1073</v>
      </c>
      <c r="AI661" s="129" t="s">
        <v>1073</v>
      </c>
      <c r="AJ661" s="129" t="s">
        <v>1073</v>
      </c>
      <c r="AK661" s="129" t="s">
        <v>1073</v>
      </c>
      <c r="AL661" s="129" t="s">
        <v>1073</v>
      </c>
      <c r="AM661" s="129" t="s">
        <v>1073</v>
      </c>
      <c r="AN661" s="129" t="s">
        <v>1073</v>
      </c>
      <c r="AO661" s="129" t="s">
        <v>1073</v>
      </c>
      <c r="AP661" s="129" t="s">
        <v>1073</v>
      </c>
      <c r="AQ661" s="129" t="s">
        <v>1073</v>
      </c>
      <c r="AR661" s="129" t="s">
        <v>1073</v>
      </c>
      <c r="AS661" s="129" t="s">
        <v>1073</v>
      </c>
      <c r="AT661" s="129" t="s">
        <v>1073</v>
      </c>
      <c r="AU661" s="129" t="s">
        <v>1073</v>
      </c>
      <c r="AV661" s="129" t="s">
        <v>1073</v>
      </c>
      <c r="AW661" s="129" t="s">
        <v>1073</v>
      </c>
      <c r="AX661" s="129" t="s">
        <v>1073</v>
      </c>
      <c r="AY661" s="129" t="s">
        <v>1073</v>
      </c>
      <c r="AZ661" s="129" t="s">
        <v>1073</v>
      </c>
      <c r="BA661" s="129" t="s">
        <v>1073</v>
      </c>
      <c r="BB661" s="129" t="s">
        <v>1073</v>
      </c>
      <c r="BC661" s="129" t="s">
        <v>1073</v>
      </c>
      <c r="BD661" s="129" t="s">
        <v>1073</v>
      </c>
      <c r="BE661" s="129" t="s">
        <v>1073</v>
      </c>
      <c r="BF661" s="129" t="s">
        <v>1073</v>
      </c>
      <c r="BG661" s="129" t="s">
        <v>1073</v>
      </c>
      <c r="BH661" s="129" t="s">
        <v>1073</v>
      </c>
      <c r="BI661" s="129" t="s">
        <v>1073</v>
      </c>
      <c r="BJ661" s="129" t="s">
        <v>1073</v>
      </c>
      <c r="BK661" s="129" t="s">
        <v>1073</v>
      </c>
      <c r="BL661" s="129" t="s">
        <v>1073</v>
      </c>
      <c r="BM661" s="129" t="s">
        <v>1073</v>
      </c>
      <c r="BN661" s="129" t="s">
        <v>1073</v>
      </c>
      <c r="BO661" s="129" t="s">
        <v>1073</v>
      </c>
      <c r="BP661" s="129" t="s">
        <v>1073</v>
      </c>
      <c r="BQ661" s="129" t="s">
        <v>1073</v>
      </c>
      <c r="BR661" s="129" t="s">
        <v>1073</v>
      </c>
      <c r="BS661" s="129" t="s">
        <v>1073</v>
      </c>
      <c r="BT661" s="129" t="s">
        <v>1073</v>
      </c>
      <c r="BU661" s="129" t="s">
        <v>1073</v>
      </c>
      <c r="BV661" s="129" t="s">
        <v>1073</v>
      </c>
      <c r="BW661" s="129" t="s">
        <v>1073</v>
      </c>
      <c r="BX661" s="129" t="s">
        <v>1073</v>
      </c>
      <c r="BY661" s="129"/>
      <c r="BZ661" s="129"/>
      <c r="CA661" s="129"/>
      <c r="CB661" s="129"/>
      <c r="CC661" s="129"/>
      <c r="CD661" s="129"/>
      <c r="CE661" s="129"/>
      <c r="CF661" s="129"/>
      <c r="CG661" s="129"/>
      <c r="CH661" s="129"/>
      <c r="CI661" s="129" t="s">
        <v>1073</v>
      </c>
      <c r="CJ661" s="129" t="s">
        <v>1073</v>
      </c>
      <c r="CK661" s="129" t="s">
        <v>1073</v>
      </c>
      <c r="CL661" s="129" t="s">
        <v>1073</v>
      </c>
      <c r="CM661" s="129" t="s">
        <v>1073</v>
      </c>
      <c r="CN661" s="129" t="s">
        <v>1073</v>
      </c>
      <c r="CO661" s="129" t="s">
        <v>1073</v>
      </c>
      <c r="CP661" s="129" t="s">
        <v>1073</v>
      </c>
      <c r="CQ661" s="129" t="s">
        <v>1073</v>
      </c>
      <c r="CR661" s="129" t="s">
        <v>1073</v>
      </c>
      <c r="CS661" s="129" t="s">
        <v>1073</v>
      </c>
      <c r="CT661" s="129" t="s">
        <v>1073</v>
      </c>
      <c r="CU661" s="129" t="s">
        <v>1073</v>
      </c>
    </row>
    <row r="662" spans="1:99" ht="14.25">
      <c r="A662" s="129" t="s">
        <v>1073</v>
      </c>
      <c r="B662" s="167" t="s">
        <v>1073</v>
      </c>
      <c r="C662" s="167" t="s">
        <v>1073</v>
      </c>
      <c r="D662" s="129" t="s">
        <v>1073</v>
      </c>
      <c r="E662" s="129" t="s">
        <v>1073</v>
      </c>
      <c r="F662" s="129" t="s">
        <v>1073</v>
      </c>
      <c r="G662" s="129" t="s">
        <v>1073</v>
      </c>
      <c r="H662" s="129" t="s">
        <v>1073</v>
      </c>
      <c r="I662" s="129"/>
      <c r="J662" s="129" t="s">
        <v>1073</v>
      </c>
      <c r="K662" s="129" t="s">
        <v>1073</v>
      </c>
      <c r="L662" s="129" t="s">
        <v>1073</v>
      </c>
      <c r="M662" s="129" t="s">
        <v>1073</v>
      </c>
      <c r="N662" s="129" t="s">
        <v>1073</v>
      </c>
      <c r="O662" s="129" t="s">
        <v>1073</v>
      </c>
      <c r="P662" s="129" t="s">
        <v>1073</v>
      </c>
      <c r="Q662" s="129" t="s">
        <v>1073</v>
      </c>
      <c r="R662" s="129" t="s">
        <v>1073</v>
      </c>
      <c r="S662" s="129" t="s">
        <v>1073</v>
      </c>
      <c r="T662" s="129" t="s">
        <v>1073</v>
      </c>
      <c r="U662" s="129" t="s">
        <v>1073</v>
      </c>
      <c r="V662" s="129" t="s">
        <v>1073</v>
      </c>
      <c r="W662" s="129" t="s">
        <v>1073</v>
      </c>
      <c r="X662" s="129" t="s">
        <v>1073</v>
      </c>
      <c r="Y662" s="129" t="s">
        <v>1073</v>
      </c>
      <c r="Z662" s="129" t="s">
        <v>1073</v>
      </c>
      <c r="AA662" s="129" t="s">
        <v>1073</v>
      </c>
      <c r="AB662" s="129" t="s">
        <v>1073</v>
      </c>
      <c r="AC662" s="129" t="s">
        <v>1073</v>
      </c>
      <c r="AD662" s="129" t="s">
        <v>1073</v>
      </c>
      <c r="AE662" s="129" t="s">
        <v>1073</v>
      </c>
      <c r="AF662" s="129" t="s">
        <v>1073</v>
      </c>
      <c r="AG662" s="129" t="s">
        <v>1073</v>
      </c>
      <c r="AH662" s="129" t="s">
        <v>1073</v>
      </c>
      <c r="AI662" s="129" t="s">
        <v>1073</v>
      </c>
      <c r="AJ662" s="129" t="s">
        <v>1073</v>
      </c>
      <c r="AK662" s="129" t="s">
        <v>1073</v>
      </c>
      <c r="AL662" s="129" t="s">
        <v>1073</v>
      </c>
      <c r="AM662" s="129" t="s">
        <v>1073</v>
      </c>
      <c r="AN662" s="129" t="s">
        <v>1073</v>
      </c>
      <c r="AO662" s="129" t="s">
        <v>1073</v>
      </c>
      <c r="AP662" s="129" t="s">
        <v>1073</v>
      </c>
      <c r="AQ662" s="129" t="s">
        <v>1073</v>
      </c>
      <c r="AR662" s="129" t="s">
        <v>1073</v>
      </c>
      <c r="AS662" s="129" t="s">
        <v>1073</v>
      </c>
      <c r="AT662" s="129" t="s">
        <v>1073</v>
      </c>
      <c r="AU662" s="129" t="s">
        <v>1073</v>
      </c>
      <c r="AV662" s="129" t="s">
        <v>1073</v>
      </c>
      <c r="AW662" s="129" t="s">
        <v>1073</v>
      </c>
      <c r="AX662" s="129" t="s">
        <v>1073</v>
      </c>
      <c r="AY662" s="129" t="s">
        <v>1073</v>
      </c>
      <c r="AZ662" s="129" t="s">
        <v>1073</v>
      </c>
      <c r="BA662" s="129" t="s">
        <v>1073</v>
      </c>
      <c r="BB662" s="129" t="s">
        <v>1073</v>
      </c>
      <c r="BC662" s="129" t="s">
        <v>1073</v>
      </c>
      <c r="BD662" s="129" t="s">
        <v>1073</v>
      </c>
      <c r="BE662" s="129" t="s">
        <v>1073</v>
      </c>
      <c r="BF662" s="129" t="s">
        <v>1073</v>
      </c>
      <c r="BG662" s="129" t="s">
        <v>1073</v>
      </c>
      <c r="BH662" s="129" t="s">
        <v>1073</v>
      </c>
      <c r="BI662" s="129" t="s">
        <v>1073</v>
      </c>
      <c r="BJ662" s="129" t="s">
        <v>1073</v>
      </c>
      <c r="BK662" s="129" t="s">
        <v>1073</v>
      </c>
      <c r="BL662" s="129" t="s">
        <v>1073</v>
      </c>
      <c r="BM662" s="129" t="s">
        <v>1073</v>
      </c>
      <c r="BN662" s="129" t="s">
        <v>1073</v>
      </c>
      <c r="BO662" s="129" t="s">
        <v>1073</v>
      </c>
      <c r="BP662" s="129" t="s">
        <v>1073</v>
      </c>
      <c r="BQ662" s="129" t="s">
        <v>1073</v>
      </c>
      <c r="BR662" s="129" t="s">
        <v>1073</v>
      </c>
      <c r="BS662" s="129" t="s">
        <v>1073</v>
      </c>
      <c r="BT662" s="129" t="s">
        <v>1073</v>
      </c>
      <c r="BU662" s="129" t="s">
        <v>1073</v>
      </c>
      <c r="BV662" s="129" t="s">
        <v>1073</v>
      </c>
      <c r="BW662" s="129" t="s">
        <v>1073</v>
      </c>
      <c r="BX662" s="129" t="s">
        <v>1073</v>
      </c>
      <c r="BY662" s="129"/>
      <c r="BZ662" s="129"/>
      <c r="CA662" s="129"/>
      <c r="CB662" s="129"/>
      <c r="CC662" s="129"/>
      <c r="CD662" s="129"/>
      <c r="CE662" s="129"/>
      <c r="CF662" s="129"/>
      <c r="CG662" s="129"/>
      <c r="CH662" s="129"/>
      <c r="CI662" s="129" t="s">
        <v>1073</v>
      </c>
      <c r="CJ662" s="129" t="s">
        <v>1073</v>
      </c>
      <c r="CK662" s="129" t="s">
        <v>1073</v>
      </c>
      <c r="CL662" s="129" t="s">
        <v>1073</v>
      </c>
      <c r="CM662" s="129" t="s">
        <v>1073</v>
      </c>
      <c r="CN662" s="129" t="s">
        <v>1073</v>
      </c>
      <c r="CO662" s="129" t="s">
        <v>1073</v>
      </c>
      <c r="CP662" s="129" t="s">
        <v>1073</v>
      </c>
      <c r="CQ662" s="129" t="s">
        <v>1073</v>
      </c>
      <c r="CR662" s="129" t="s">
        <v>1073</v>
      </c>
      <c r="CS662" s="129" t="s">
        <v>1073</v>
      </c>
      <c r="CT662" s="129" t="s">
        <v>1073</v>
      </c>
      <c r="CU662" s="129" t="s">
        <v>1073</v>
      </c>
    </row>
    <row r="663" spans="1:99" ht="14.25">
      <c r="A663" s="129" t="s">
        <v>1073</v>
      </c>
      <c r="B663" s="167" t="s">
        <v>1073</v>
      </c>
      <c r="C663" s="167" t="s">
        <v>1073</v>
      </c>
      <c r="D663" s="129" t="s">
        <v>1073</v>
      </c>
      <c r="E663" s="129" t="s">
        <v>1073</v>
      </c>
      <c r="F663" s="129" t="s">
        <v>1073</v>
      </c>
      <c r="G663" s="129" t="s">
        <v>1073</v>
      </c>
      <c r="H663" s="129" t="s">
        <v>1073</v>
      </c>
      <c r="I663" s="129"/>
      <c r="J663" s="129" t="s">
        <v>1073</v>
      </c>
      <c r="K663" s="129" t="s">
        <v>1073</v>
      </c>
      <c r="L663" s="129" t="s">
        <v>1073</v>
      </c>
      <c r="M663" s="129" t="s">
        <v>1073</v>
      </c>
      <c r="N663" s="129" t="s">
        <v>1073</v>
      </c>
      <c r="O663" s="129" t="s">
        <v>1073</v>
      </c>
      <c r="P663" s="129" t="s">
        <v>1073</v>
      </c>
      <c r="Q663" s="129" t="s">
        <v>1073</v>
      </c>
      <c r="R663" s="129" t="s">
        <v>1073</v>
      </c>
      <c r="S663" s="129" t="s">
        <v>1073</v>
      </c>
      <c r="T663" s="129" t="s">
        <v>1073</v>
      </c>
      <c r="U663" s="129" t="s">
        <v>1073</v>
      </c>
      <c r="V663" s="129" t="s">
        <v>1073</v>
      </c>
      <c r="W663" s="129" t="s">
        <v>1073</v>
      </c>
      <c r="X663" s="129" t="s">
        <v>1073</v>
      </c>
      <c r="Y663" s="129" t="s">
        <v>1073</v>
      </c>
      <c r="Z663" s="129" t="s">
        <v>1073</v>
      </c>
      <c r="AA663" s="129" t="s">
        <v>1073</v>
      </c>
      <c r="AB663" s="129" t="s">
        <v>1073</v>
      </c>
      <c r="AC663" s="129" t="s">
        <v>1073</v>
      </c>
      <c r="AD663" s="129" t="s">
        <v>1073</v>
      </c>
      <c r="AE663" s="129" t="s">
        <v>1073</v>
      </c>
      <c r="AF663" s="129" t="s">
        <v>1073</v>
      </c>
      <c r="AG663" s="129" t="s">
        <v>1073</v>
      </c>
      <c r="AH663" s="129" t="s">
        <v>1073</v>
      </c>
      <c r="AI663" s="129" t="s">
        <v>1073</v>
      </c>
      <c r="AJ663" s="129" t="s">
        <v>1073</v>
      </c>
      <c r="AK663" s="129" t="s">
        <v>1073</v>
      </c>
      <c r="AL663" s="129" t="s">
        <v>1073</v>
      </c>
      <c r="AM663" s="129" t="s">
        <v>1073</v>
      </c>
      <c r="AN663" s="129" t="s">
        <v>1073</v>
      </c>
      <c r="AO663" s="129" t="s">
        <v>1073</v>
      </c>
      <c r="AP663" s="129" t="s">
        <v>1073</v>
      </c>
      <c r="AQ663" s="129" t="s">
        <v>1073</v>
      </c>
      <c r="AR663" s="129" t="s">
        <v>1073</v>
      </c>
      <c r="AS663" s="129" t="s">
        <v>1073</v>
      </c>
      <c r="AT663" s="129" t="s">
        <v>1073</v>
      </c>
      <c r="AU663" s="129" t="s">
        <v>1073</v>
      </c>
      <c r="AV663" s="129" t="s">
        <v>1073</v>
      </c>
      <c r="AW663" s="129" t="s">
        <v>1073</v>
      </c>
      <c r="AX663" s="129" t="s">
        <v>1073</v>
      </c>
      <c r="AY663" s="129" t="s">
        <v>1073</v>
      </c>
      <c r="AZ663" s="129" t="s">
        <v>1073</v>
      </c>
      <c r="BA663" s="129" t="s">
        <v>1073</v>
      </c>
      <c r="BB663" s="129" t="s">
        <v>1073</v>
      </c>
      <c r="BC663" s="129" t="s">
        <v>1073</v>
      </c>
      <c r="BD663" s="129" t="s">
        <v>1073</v>
      </c>
      <c r="BE663" s="129" t="s">
        <v>1073</v>
      </c>
      <c r="BF663" s="129" t="s">
        <v>1073</v>
      </c>
      <c r="BG663" s="129" t="s">
        <v>1073</v>
      </c>
      <c r="BH663" s="129" t="s">
        <v>1073</v>
      </c>
      <c r="BI663" s="129" t="s">
        <v>1073</v>
      </c>
      <c r="BJ663" s="129" t="s">
        <v>1073</v>
      </c>
      <c r="BK663" s="129" t="s">
        <v>1073</v>
      </c>
      <c r="BL663" s="129" t="s">
        <v>1073</v>
      </c>
      <c r="BM663" s="129" t="s">
        <v>1073</v>
      </c>
      <c r="BN663" s="129" t="s">
        <v>1073</v>
      </c>
      <c r="BO663" s="129" t="s">
        <v>1073</v>
      </c>
      <c r="BP663" s="129" t="s">
        <v>1073</v>
      </c>
      <c r="BQ663" s="129" t="s">
        <v>1073</v>
      </c>
      <c r="BR663" s="129" t="s">
        <v>1073</v>
      </c>
      <c r="BS663" s="129" t="s">
        <v>1073</v>
      </c>
      <c r="BT663" s="129" t="s">
        <v>1073</v>
      </c>
      <c r="BU663" s="129" t="s">
        <v>1073</v>
      </c>
      <c r="BV663" s="129" t="s">
        <v>1073</v>
      </c>
      <c r="BW663" s="129" t="s">
        <v>1073</v>
      </c>
      <c r="BX663" s="129" t="s">
        <v>1073</v>
      </c>
      <c r="BY663" s="129"/>
      <c r="BZ663" s="129"/>
      <c r="CA663" s="129"/>
      <c r="CB663" s="129"/>
      <c r="CC663" s="129"/>
      <c r="CD663" s="129"/>
      <c r="CE663" s="129"/>
      <c r="CF663" s="129"/>
      <c r="CG663" s="129"/>
      <c r="CH663" s="129"/>
      <c r="CI663" s="129" t="s">
        <v>1073</v>
      </c>
      <c r="CJ663" s="129" t="s">
        <v>1073</v>
      </c>
      <c r="CK663" s="129" t="s">
        <v>1073</v>
      </c>
      <c r="CL663" s="129" t="s">
        <v>1073</v>
      </c>
      <c r="CM663" s="129" t="s">
        <v>1073</v>
      </c>
      <c r="CN663" s="129" t="s">
        <v>1073</v>
      </c>
      <c r="CO663" s="129" t="s">
        <v>1073</v>
      </c>
      <c r="CP663" s="129" t="s">
        <v>1073</v>
      </c>
      <c r="CQ663" s="129" t="s">
        <v>1073</v>
      </c>
      <c r="CR663" s="129" t="s">
        <v>1073</v>
      </c>
      <c r="CS663" s="129" t="s">
        <v>1073</v>
      </c>
      <c r="CT663" s="129" t="s">
        <v>1073</v>
      </c>
      <c r="CU663" s="129" t="s">
        <v>1073</v>
      </c>
    </row>
    <row r="664" spans="1:99" ht="14.25">
      <c r="A664" s="129" t="s">
        <v>1073</v>
      </c>
      <c r="B664" s="167" t="s">
        <v>1073</v>
      </c>
      <c r="C664" s="167" t="s">
        <v>1073</v>
      </c>
      <c r="D664" s="129" t="s">
        <v>1073</v>
      </c>
      <c r="E664" s="129" t="s">
        <v>1073</v>
      </c>
      <c r="F664" s="129" t="s">
        <v>1073</v>
      </c>
      <c r="G664" s="129" t="s">
        <v>1073</v>
      </c>
      <c r="H664" s="129" t="s">
        <v>1073</v>
      </c>
      <c r="I664" s="129"/>
      <c r="J664" s="129" t="s">
        <v>1073</v>
      </c>
      <c r="K664" s="129" t="s">
        <v>1073</v>
      </c>
      <c r="L664" s="129" t="s">
        <v>1073</v>
      </c>
      <c r="M664" s="129" t="s">
        <v>1073</v>
      </c>
      <c r="N664" s="129" t="s">
        <v>1073</v>
      </c>
      <c r="O664" s="129" t="s">
        <v>1073</v>
      </c>
      <c r="P664" s="129" t="s">
        <v>1073</v>
      </c>
      <c r="Q664" s="129" t="s">
        <v>1073</v>
      </c>
      <c r="R664" s="129" t="s">
        <v>1073</v>
      </c>
      <c r="S664" s="129" t="s">
        <v>1073</v>
      </c>
      <c r="T664" s="129" t="s">
        <v>1073</v>
      </c>
      <c r="U664" s="129" t="s">
        <v>1073</v>
      </c>
      <c r="V664" s="129" t="s">
        <v>1073</v>
      </c>
      <c r="W664" s="129" t="s">
        <v>1073</v>
      </c>
      <c r="X664" s="129" t="s">
        <v>1073</v>
      </c>
      <c r="Y664" s="129" t="s">
        <v>1073</v>
      </c>
      <c r="Z664" s="129" t="s">
        <v>1073</v>
      </c>
      <c r="AA664" s="129" t="s">
        <v>1073</v>
      </c>
      <c r="AB664" s="129" t="s">
        <v>1073</v>
      </c>
      <c r="AC664" s="129" t="s">
        <v>1073</v>
      </c>
      <c r="AD664" s="129" t="s">
        <v>1073</v>
      </c>
      <c r="AE664" s="129" t="s">
        <v>1073</v>
      </c>
      <c r="AF664" s="129" t="s">
        <v>1073</v>
      </c>
      <c r="AG664" s="129" t="s">
        <v>1073</v>
      </c>
      <c r="AH664" s="129" t="s">
        <v>1073</v>
      </c>
      <c r="AI664" s="129" t="s">
        <v>1073</v>
      </c>
      <c r="AJ664" s="129" t="s">
        <v>1073</v>
      </c>
      <c r="AK664" s="129" t="s">
        <v>1073</v>
      </c>
      <c r="AL664" s="129" t="s">
        <v>1073</v>
      </c>
      <c r="AM664" s="129" t="s">
        <v>1073</v>
      </c>
      <c r="AN664" s="129" t="s">
        <v>1073</v>
      </c>
      <c r="AO664" s="129" t="s">
        <v>1073</v>
      </c>
      <c r="AP664" s="129" t="s">
        <v>1073</v>
      </c>
      <c r="AQ664" s="129" t="s">
        <v>1073</v>
      </c>
      <c r="AR664" s="129" t="s">
        <v>1073</v>
      </c>
      <c r="AS664" s="129" t="s">
        <v>1073</v>
      </c>
      <c r="AT664" s="129" t="s">
        <v>1073</v>
      </c>
      <c r="AU664" s="129" t="s">
        <v>1073</v>
      </c>
      <c r="AV664" s="129" t="s">
        <v>1073</v>
      </c>
      <c r="AW664" s="129" t="s">
        <v>1073</v>
      </c>
      <c r="AX664" s="129" t="s">
        <v>1073</v>
      </c>
      <c r="AY664" s="129" t="s">
        <v>1073</v>
      </c>
      <c r="AZ664" s="129" t="s">
        <v>1073</v>
      </c>
      <c r="BA664" s="129" t="s">
        <v>1073</v>
      </c>
      <c r="BB664" s="129" t="s">
        <v>1073</v>
      </c>
      <c r="BC664" s="129" t="s">
        <v>1073</v>
      </c>
      <c r="BD664" s="129" t="s">
        <v>1073</v>
      </c>
      <c r="BE664" s="129" t="s">
        <v>1073</v>
      </c>
      <c r="BF664" s="129" t="s">
        <v>1073</v>
      </c>
      <c r="BG664" s="129" t="s">
        <v>1073</v>
      </c>
      <c r="BH664" s="129" t="s">
        <v>1073</v>
      </c>
      <c r="BI664" s="129" t="s">
        <v>1073</v>
      </c>
      <c r="BJ664" s="129" t="s">
        <v>1073</v>
      </c>
      <c r="BK664" s="129" t="s">
        <v>1073</v>
      </c>
      <c r="BL664" s="129" t="s">
        <v>1073</v>
      </c>
      <c r="BM664" s="129" t="s">
        <v>1073</v>
      </c>
      <c r="BN664" s="129" t="s">
        <v>1073</v>
      </c>
      <c r="BO664" s="129" t="s">
        <v>1073</v>
      </c>
      <c r="BP664" s="129" t="s">
        <v>1073</v>
      </c>
      <c r="BQ664" s="129" t="s">
        <v>1073</v>
      </c>
      <c r="BR664" s="129" t="s">
        <v>1073</v>
      </c>
      <c r="BS664" s="129" t="s">
        <v>1073</v>
      </c>
      <c r="BT664" s="129" t="s">
        <v>1073</v>
      </c>
      <c r="BU664" s="129" t="s">
        <v>1073</v>
      </c>
      <c r="BV664" s="129" t="s">
        <v>1073</v>
      </c>
      <c r="BW664" s="129" t="s">
        <v>1073</v>
      </c>
      <c r="BX664" s="129" t="s">
        <v>1073</v>
      </c>
      <c r="BY664" s="129"/>
      <c r="BZ664" s="129"/>
      <c r="CA664" s="129"/>
      <c r="CB664" s="129"/>
      <c r="CC664" s="129"/>
      <c r="CD664" s="129"/>
      <c r="CE664" s="129"/>
      <c r="CF664" s="129"/>
      <c r="CG664" s="129"/>
      <c r="CH664" s="129"/>
      <c r="CI664" s="129" t="s">
        <v>1073</v>
      </c>
      <c r="CJ664" s="129" t="s">
        <v>1073</v>
      </c>
      <c r="CK664" s="129" t="s">
        <v>1073</v>
      </c>
      <c r="CL664" s="129" t="s">
        <v>1073</v>
      </c>
      <c r="CM664" s="129" t="s">
        <v>1073</v>
      </c>
      <c r="CN664" s="129" t="s">
        <v>1073</v>
      </c>
      <c r="CO664" s="129" t="s">
        <v>1073</v>
      </c>
      <c r="CP664" s="129" t="s">
        <v>1073</v>
      </c>
      <c r="CQ664" s="129" t="s">
        <v>1073</v>
      </c>
      <c r="CR664" s="129" t="s">
        <v>1073</v>
      </c>
      <c r="CS664" s="129" t="s">
        <v>1073</v>
      </c>
      <c r="CT664" s="129" t="s">
        <v>1073</v>
      </c>
      <c r="CU664" s="129" t="s">
        <v>1073</v>
      </c>
    </row>
    <row r="665" spans="1:99" ht="14.25">
      <c r="A665" s="129" t="s">
        <v>1073</v>
      </c>
      <c r="B665" s="167" t="s">
        <v>1073</v>
      </c>
      <c r="C665" s="167" t="s">
        <v>1073</v>
      </c>
      <c r="D665" s="129" t="s">
        <v>1073</v>
      </c>
      <c r="E665" s="129" t="s">
        <v>1073</v>
      </c>
      <c r="F665" s="129" t="s">
        <v>1073</v>
      </c>
      <c r="G665" s="129" t="s">
        <v>1073</v>
      </c>
      <c r="H665" s="129" t="s">
        <v>1073</v>
      </c>
      <c r="I665" s="129"/>
      <c r="J665" s="129" t="s">
        <v>1073</v>
      </c>
      <c r="K665" s="129" t="s">
        <v>1073</v>
      </c>
      <c r="L665" s="129" t="s">
        <v>1073</v>
      </c>
      <c r="M665" s="129" t="s">
        <v>1073</v>
      </c>
      <c r="N665" s="129" t="s">
        <v>1073</v>
      </c>
      <c r="O665" s="129" t="s">
        <v>1073</v>
      </c>
      <c r="P665" s="129" t="s">
        <v>1073</v>
      </c>
      <c r="Q665" s="129" t="s">
        <v>1073</v>
      </c>
      <c r="R665" s="129" t="s">
        <v>1073</v>
      </c>
      <c r="S665" s="129" t="s">
        <v>1073</v>
      </c>
      <c r="T665" s="129" t="s">
        <v>1073</v>
      </c>
      <c r="U665" s="129" t="s">
        <v>1073</v>
      </c>
      <c r="V665" s="129" t="s">
        <v>1073</v>
      </c>
      <c r="W665" s="129" t="s">
        <v>1073</v>
      </c>
      <c r="X665" s="129" t="s">
        <v>1073</v>
      </c>
      <c r="Y665" s="129" t="s">
        <v>1073</v>
      </c>
      <c r="Z665" s="129" t="s">
        <v>1073</v>
      </c>
      <c r="AA665" s="129" t="s">
        <v>1073</v>
      </c>
      <c r="AB665" s="129" t="s">
        <v>1073</v>
      </c>
      <c r="AC665" s="129" t="s">
        <v>1073</v>
      </c>
      <c r="AD665" s="129" t="s">
        <v>1073</v>
      </c>
      <c r="AE665" s="129" t="s">
        <v>1073</v>
      </c>
      <c r="AF665" s="129" t="s">
        <v>1073</v>
      </c>
      <c r="AG665" s="129" t="s">
        <v>1073</v>
      </c>
      <c r="AH665" s="129" t="s">
        <v>1073</v>
      </c>
      <c r="AI665" s="129" t="s">
        <v>1073</v>
      </c>
      <c r="AJ665" s="129" t="s">
        <v>1073</v>
      </c>
      <c r="AK665" s="129" t="s">
        <v>1073</v>
      </c>
      <c r="AL665" s="129" t="s">
        <v>1073</v>
      </c>
      <c r="AM665" s="129" t="s">
        <v>1073</v>
      </c>
      <c r="AN665" s="129" t="s">
        <v>1073</v>
      </c>
      <c r="AO665" s="129" t="s">
        <v>1073</v>
      </c>
      <c r="AP665" s="129" t="s">
        <v>1073</v>
      </c>
      <c r="AQ665" s="129" t="s">
        <v>1073</v>
      </c>
      <c r="AR665" s="129" t="s">
        <v>1073</v>
      </c>
      <c r="AS665" s="129" t="s">
        <v>1073</v>
      </c>
      <c r="AT665" s="129" t="s">
        <v>1073</v>
      </c>
      <c r="AU665" s="129" t="s">
        <v>1073</v>
      </c>
      <c r="AV665" s="129" t="s">
        <v>1073</v>
      </c>
      <c r="AW665" s="129" t="s">
        <v>1073</v>
      </c>
      <c r="AX665" s="129" t="s">
        <v>1073</v>
      </c>
      <c r="AY665" s="129" t="s">
        <v>1073</v>
      </c>
      <c r="AZ665" s="129" t="s">
        <v>1073</v>
      </c>
      <c r="BA665" s="129" t="s">
        <v>1073</v>
      </c>
      <c r="BB665" s="129" t="s">
        <v>1073</v>
      </c>
      <c r="BC665" s="129" t="s">
        <v>1073</v>
      </c>
      <c r="BD665" s="129" t="s">
        <v>1073</v>
      </c>
      <c r="BE665" s="129" t="s">
        <v>1073</v>
      </c>
      <c r="BF665" s="129" t="s">
        <v>1073</v>
      </c>
      <c r="BG665" s="129" t="s">
        <v>1073</v>
      </c>
      <c r="BH665" s="129" t="s">
        <v>1073</v>
      </c>
      <c r="BI665" s="129" t="s">
        <v>1073</v>
      </c>
      <c r="BJ665" s="129" t="s">
        <v>1073</v>
      </c>
      <c r="BK665" s="129" t="s">
        <v>1073</v>
      </c>
      <c r="BL665" s="129" t="s">
        <v>1073</v>
      </c>
      <c r="BM665" s="129" t="s">
        <v>1073</v>
      </c>
      <c r="BN665" s="129" t="s">
        <v>1073</v>
      </c>
      <c r="BO665" s="129" t="s">
        <v>1073</v>
      </c>
      <c r="BP665" s="129" t="s">
        <v>1073</v>
      </c>
      <c r="BQ665" s="129" t="s">
        <v>1073</v>
      </c>
      <c r="BR665" s="129" t="s">
        <v>1073</v>
      </c>
      <c r="BS665" s="129" t="s">
        <v>1073</v>
      </c>
      <c r="BT665" s="129" t="s">
        <v>1073</v>
      </c>
      <c r="BU665" s="129" t="s">
        <v>1073</v>
      </c>
      <c r="BV665" s="129" t="s">
        <v>1073</v>
      </c>
      <c r="BW665" s="129" t="s">
        <v>1073</v>
      </c>
      <c r="BX665" s="129" t="s">
        <v>1073</v>
      </c>
      <c r="BY665" s="129"/>
      <c r="BZ665" s="129"/>
      <c r="CA665" s="129"/>
      <c r="CB665" s="129"/>
      <c r="CC665" s="129"/>
      <c r="CD665" s="129"/>
      <c r="CE665" s="129"/>
      <c r="CF665" s="129"/>
      <c r="CG665" s="129"/>
      <c r="CH665" s="129"/>
      <c r="CI665" s="129" t="s">
        <v>1073</v>
      </c>
      <c r="CJ665" s="129" t="s">
        <v>1073</v>
      </c>
      <c r="CK665" s="129" t="s">
        <v>1073</v>
      </c>
      <c r="CL665" s="129" t="s">
        <v>1073</v>
      </c>
      <c r="CM665" s="129" t="s">
        <v>1073</v>
      </c>
      <c r="CN665" s="129" t="s">
        <v>1073</v>
      </c>
      <c r="CO665" s="129" t="s">
        <v>1073</v>
      </c>
      <c r="CP665" s="129" t="s">
        <v>1073</v>
      </c>
      <c r="CQ665" s="129" t="s">
        <v>1073</v>
      </c>
      <c r="CR665" s="129" t="s">
        <v>1073</v>
      </c>
      <c r="CS665" s="129" t="s">
        <v>1073</v>
      </c>
      <c r="CT665" s="129" t="s">
        <v>1073</v>
      </c>
      <c r="CU665" s="129" t="s">
        <v>1073</v>
      </c>
    </row>
    <row r="666" spans="1:99" ht="14.25">
      <c r="A666" s="129" t="s">
        <v>1073</v>
      </c>
      <c r="B666" s="167" t="s">
        <v>1073</v>
      </c>
      <c r="C666" s="167" t="s">
        <v>1073</v>
      </c>
      <c r="D666" s="129" t="s">
        <v>1073</v>
      </c>
      <c r="E666" s="129" t="s">
        <v>1073</v>
      </c>
      <c r="F666" s="129" t="s">
        <v>1073</v>
      </c>
      <c r="G666" s="129" t="s">
        <v>1073</v>
      </c>
      <c r="H666" s="129" t="s">
        <v>1073</v>
      </c>
      <c r="I666" s="129"/>
      <c r="J666" s="129" t="s">
        <v>1073</v>
      </c>
      <c r="K666" s="129" t="s">
        <v>1073</v>
      </c>
      <c r="L666" s="129" t="s">
        <v>1073</v>
      </c>
      <c r="M666" s="129" t="s">
        <v>1073</v>
      </c>
      <c r="N666" s="129" t="s">
        <v>1073</v>
      </c>
      <c r="O666" s="129" t="s">
        <v>1073</v>
      </c>
      <c r="P666" s="129" t="s">
        <v>1073</v>
      </c>
      <c r="Q666" s="129" t="s">
        <v>1073</v>
      </c>
      <c r="R666" s="129" t="s">
        <v>1073</v>
      </c>
      <c r="S666" s="129" t="s">
        <v>1073</v>
      </c>
      <c r="T666" s="129" t="s">
        <v>1073</v>
      </c>
      <c r="U666" s="129" t="s">
        <v>1073</v>
      </c>
      <c r="V666" s="129" t="s">
        <v>1073</v>
      </c>
      <c r="W666" s="129" t="s">
        <v>1073</v>
      </c>
      <c r="X666" s="129" t="s">
        <v>1073</v>
      </c>
      <c r="Y666" s="129" t="s">
        <v>1073</v>
      </c>
      <c r="Z666" s="129" t="s">
        <v>1073</v>
      </c>
      <c r="AA666" s="129" t="s">
        <v>1073</v>
      </c>
      <c r="AB666" s="129" t="s">
        <v>1073</v>
      </c>
      <c r="AC666" s="129" t="s">
        <v>1073</v>
      </c>
      <c r="AD666" s="129" t="s">
        <v>1073</v>
      </c>
      <c r="AE666" s="129" t="s">
        <v>1073</v>
      </c>
      <c r="AF666" s="129" t="s">
        <v>1073</v>
      </c>
      <c r="AG666" s="129" t="s">
        <v>1073</v>
      </c>
      <c r="AH666" s="129" t="s">
        <v>1073</v>
      </c>
      <c r="AI666" s="129" t="s">
        <v>1073</v>
      </c>
      <c r="AJ666" s="129" t="s">
        <v>1073</v>
      </c>
      <c r="AK666" s="129" t="s">
        <v>1073</v>
      </c>
      <c r="AL666" s="129" t="s">
        <v>1073</v>
      </c>
      <c r="AM666" s="129" t="s">
        <v>1073</v>
      </c>
      <c r="AN666" s="129" t="s">
        <v>1073</v>
      </c>
      <c r="AO666" s="129" t="s">
        <v>1073</v>
      </c>
      <c r="AP666" s="129" t="s">
        <v>1073</v>
      </c>
      <c r="AQ666" s="129" t="s">
        <v>1073</v>
      </c>
      <c r="AR666" s="129" t="s">
        <v>1073</v>
      </c>
      <c r="AS666" s="129" t="s">
        <v>1073</v>
      </c>
      <c r="AT666" s="129" t="s">
        <v>1073</v>
      </c>
      <c r="AU666" s="129" t="s">
        <v>1073</v>
      </c>
      <c r="AV666" s="129" t="s">
        <v>1073</v>
      </c>
      <c r="AW666" s="129" t="s">
        <v>1073</v>
      </c>
      <c r="AX666" s="129" t="s">
        <v>1073</v>
      </c>
      <c r="AY666" s="129" t="s">
        <v>1073</v>
      </c>
      <c r="AZ666" s="129" t="s">
        <v>1073</v>
      </c>
      <c r="BA666" s="129" t="s">
        <v>1073</v>
      </c>
      <c r="BB666" s="129" t="s">
        <v>1073</v>
      </c>
      <c r="BC666" s="129" t="s">
        <v>1073</v>
      </c>
      <c r="BD666" s="129" t="s">
        <v>1073</v>
      </c>
      <c r="BE666" s="129" t="s">
        <v>1073</v>
      </c>
      <c r="BF666" s="129" t="s">
        <v>1073</v>
      </c>
      <c r="BG666" s="129" t="s">
        <v>1073</v>
      </c>
      <c r="BH666" s="129" t="s">
        <v>1073</v>
      </c>
      <c r="BI666" s="129" t="s">
        <v>1073</v>
      </c>
      <c r="BJ666" s="129" t="s">
        <v>1073</v>
      </c>
      <c r="BK666" s="129" t="s">
        <v>1073</v>
      </c>
      <c r="BL666" s="129" t="s">
        <v>1073</v>
      </c>
      <c r="BM666" s="129" t="s">
        <v>1073</v>
      </c>
      <c r="BN666" s="129" t="s">
        <v>1073</v>
      </c>
      <c r="BO666" s="129" t="s">
        <v>1073</v>
      </c>
      <c r="BP666" s="129" t="s">
        <v>1073</v>
      </c>
      <c r="BQ666" s="129" t="s">
        <v>1073</v>
      </c>
      <c r="BR666" s="129" t="s">
        <v>1073</v>
      </c>
      <c r="BS666" s="129" t="s">
        <v>1073</v>
      </c>
      <c r="BT666" s="129" t="s">
        <v>1073</v>
      </c>
      <c r="BU666" s="129" t="s">
        <v>1073</v>
      </c>
      <c r="BV666" s="129" t="s">
        <v>1073</v>
      </c>
      <c r="BW666" s="129" t="s">
        <v>1073</v>
      </c>
      <c r="BX666" s="129" t="s">
        <v>1073</v>
      </c>
      <c r="BY666" s="129"/>
      <c r="BZ666" s="129"/>
      <c r="CA666" s="129"/>
      <c r="CB666" s="129"/>
      <c r="CC666" s="129"/>
      <c r="CD666" s="129"/>
      <c r="CE666" s="129"/>
      <c r="CF666" s="129"/>
      <c r="CG666" s="129"/>
      <c r="CH666" s="129"/>
      <c r="CI666" s="129" t="s">
        <v>1073</v>
      </c>
      <c r="CJ666" s="129" t="s">
        <v>1073</v>
      </c>
      <c r="CK666" s="129" t="s">
        <v>1073</v>
      </c>
      <c r="CL666" s="129" t="s">
        <v>1073</v>
      </c>
      <c r="CM666" s="129" t="s">
        <v>1073</v>
      </c>
      <c r="CN666" s="129" t="s">
        <v>1073</v>
      </c>
      <c r="CO666" s="129" t="s">
        <v>1073</v>
      </c>
      <c r="CP666" s="129" t="s">
        <v>1073</v>
      </c>
      <c r="CQ666" s="129" t="s">
        <v>1073</v>
      </c>
      <c r="CR666" s="129" t="s">
        <v>1073</v>
      </c>
      <c r="CS666" s="129" t="s">
        <v>1073</v>
      </c>
      <c r="CT666" s="129" t="s">
        <v>1073</v>
      </c>
      <c r="CU666" s="129" t="s">
        <v>1073</v>
      </c>
    </row>
    <row r="667" spans="1:99" ht="14.25">
      <c r="A667" s="129" t="s">
        <v>1073</v>
      </c>
      <c r="B667" s="167" t="s">
        <v>1073</v>
      </c>
      <c r="C667" s="167" t="s">
        <v>1073</v>
      </c>
      <c r="D667" s="129" t="s">
        <v>1073</v>
      </c>
      <c r="E667" s="129" t="s">
        <v>1073</v>
      </c>
      <c r="F667" s="129" t="s">
        <v>1073</v>
      </c>
      <c r="G667" s="129" t="s">
        <v>1073</v>
      </c>
      <c r="H667" s="129" t="s">
        <v>1073</v>
      </c>
      <c r="I667" s="129"/>
      <c r="J667" s="129" t="s">
        <v>1073</v>
      </c>
      <c r="K667" s="129" t="s">
        <v>1073</v>
      </c>
      <c r="L667" s="129" t="s">
        <v>1073</v>
      </c>
      <c r="M667" s="129" t="s">
        <v>1073</v>
      </c>
      <c r="N667" s="129" t="s">
        <v>1073</v>
      </c>
      <c r="O667" s="129" t="s">
        <v>1073</v>
      </c>
      <c r="P667" s="129" t="s">
        <v>1073</v>
      </c>
      <c r="Q667" s="129" t="s">
        <v>1073</v>
      </c>
      <c r="R667" s="129" t="s">
        <v>1073</v>
      </c>
      <c r="S667" s="129" t="s">
        <v>1073</v>
      </c>
      <c r="T667" s="129" t="s">
        <v>1073</v>
      </c>
      <c r="U667" s="129" t="s">
        <v>1073</v>
      </c>
      <c r="V667" s="129" t="s">
        <v>1073</v>
      </c>
      <c r="W667" s="129" t="s">
        <v>1073</v>
      </c>
      <c r="X667" s="129" t="s">
        <v>1073</v>
      </c>
      <c r="Y667" s="129" t="s">
        <v>1073</v>
      </c>
      <c r="Z667" s="129" t="s">
        <v>1073</v>
      </c>
      <c r="AA667" s="129" t="s">
        <v>1073</v>
      </c>
      <c r="AB667" s="129" t="s">
        <v>1073</v>
      </c>
      <c r="CI667" s="129" t="s">
        <v>1073</v>
      </c>
      <c r="CJ667" s="129" t="s">
        <v>1073</v>
      </c>
      <c r="CK667" s="129" t="s">
        <v>1073</v>
      </c>
      <c r="CL667" s="129" t="s">
        <v>1073</v>
      </c>
      <c r="CM667" s="129" t="s">
        <v>1073</v>
      </c>
      <c r="CN667" s="129" t="s">
        <v>1073</v>
      </c>
      <c r="CO667" s="129" t="s">
        <v>1073</v>
      </c>
      <c r="CP667" s="129" t="s">
        <v>1073</v>
      </c>
      <c r="CQ667" s="129" t="s">
        <v>1073</v>
      </c>
      <c r="CR667" s="129" t="s">
        <v>1073</v>
      </c>
      <c r="CS667" s="129" t="s">
        <v>1073</v>
      </c>
      <c r="CT667" s="129" t="s">
        <v>1073</v>
      </c>
      <c r="CU667" s="129" t="s">
        <v>1073</v>
      </c>
    </row>
  </sheetData>
  <sheetProtection password="DFED" sheet="1" objects="1" scenarios="1"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AH66"/>
  <sheetViews>
    <sheetView zoomScale="75" zoomScaleNormal="75" zoomScalePageLayoutView="0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59" sqref="R59"/>
    </sheetView>
  </sheetViews>
  <sheetFormatPr defaultColWidth="9.140625" defaultRowHeight="12.75"/>
  <cols>
    <col min="1" max="1" width="8.00390625" style="0" bestFit="1" customWidth="1"/>
    <col min="2" max="2" width="8.140625" style="0" bestFit="1" customWidth="1"/>
    <col min="3" max="3" width="4.00390625" style="0" bestFit="1" customWidth="1"/>
    <col min="4" max="4" width="11.140625" style="0" bestFit="1" customWidth="1"/>
    <col min="5" max="6" width="11.57421875" style="0" bestFit="1" customWidth="1"/>
    <col min="7" max="9" width="10.8515625" style="0" bestFit="1" customWidth="1"/>
    <col min="10" max="12" width="10.140625" style="0" bestFit="1" customWidth="1"/>
    <col min="13" max="14" width="10.421875" style="0" bestFit="1" customWidth="1"/>
    <col min="15" max="23" width="11.140625" style="0" bestFit="1" customWidth="1"/>
    <col min="24" max="25" width="10.8515625" style="0" bestFit="1" customWidth="1"/>
    <col min="26" max="27" width="11.140625" style="0" bestFit="1" customWidth="1"/>
    <col min="28" max="29" width="10.8515625" style="0" bestFit="1" customWidth="1"/>
    <col min="30" max="30" width="3.140625" style="0" bestFit="1" customWidth="1"/>
    <col min="31" max="31" width="19.57421875" style="0" bestFit="1" customWidth="1"/>
  </cols>
  <sheetData>
    <row r="1" spans="1:32" ht="12.75">
      <c r="A1" s="189"/>
      <c r="B1" s="189"/>
      <c r="C1" s="180"/>
      <c r="D1" s="175">
        <f>'Date Drivers'!$B$1</f>
        <v>41369</v>
      </c>
      <c r="E1">
        <f>HLOOKUP($D$1,$D$2:$AC$64,63)</f>
        <v>2</v>
      </c>
      <c r="F1">
        <f>HLOOKUP($D$1,$D$2:$AC$64,63)</f>
        <v>2</v>
      </c>
      <c r="AE1" s="15"/>
      <c r="AF1" s="15"/>
    </row>
    <row r="2" spans="1:34" ht="12.75">
      <c r="A2" s="119" t="str">
        <f>CONCATENATE(Configurator!$L$6,Configurator!$M$6,Configurator!$N$6,Configurator!$O$6,F1,Configurator!T6)</f>
        <v>LTHJ25</v>
      </c>
      <c r="B2" s="178"/>
      <c r="C2" s="190"/>
      <c r="D2" s="176">
        <v>39493</v>
      </c>
      <c r="E2" s="176">
        <v>39605</v>
      </c>
      <c r="F2" s="176">
        <v>39848</v>
      </c>
      <c r="G2" s="176">
        <v>40438</v>
      </c>
      <c r="H2" s="176">
        <v>40609</v>
      </c>
      <c r="I2" s="272">
        <v>40610</v>
      </c>
      <c r="J2" s="176">
        <v>40861</v>
      </c>
      <c r="K2" s="176">
        <v>40871</v>
      </c>
      <c r="L2" s="176">
        <v>40878</v>
      </c>
      <c r="M2" s="176">
        <v>40883</v>
      </c>
      <c r="N2" s="176">
        <v>40918</v>
      </c>
      <c r="O2" s="176">
        <v>40973</v>
      </c>
      <c r="P2" s="176">
        <v>40974</v>
      </c>
      <c r="Q2" s="176">
        <v>40975</v>
      </c>
      <c r="R2" s="176">
        <v>41143</v>
      </c>
      <c r="S2" s="176">
        <v>41337</v>
      </c>
      <c r="T2" s="176">
        <v>41369</v>
      </c>
      <c r="U2" s="176">
        <v>41370</v>
      </c>
      <c r="V2" s="176">
        <v>41424</v>
      </c>
      <c r="W2" s="176">
        <v>41471</v>
      </c>
      <c r="X2" s="176">
        <v>41500</v>
      </c>
      <c r="Y2" s="176">
        <v>41585</v>
      </c>
      <c r="Z2" s="176">
        <v>41725</v>
      </c>
      <c r="AA2" s="176">
        <v>41878</v>
      </c>
      <c r="AB2" s="176">
        <v>41977</v>
      </c>
      <c r="AC2" s="176">
        <v>42051</v>
      </c>
      <c r="AE2" s="382" t="s">
        <v>1313</v>
      </c>
      <c r="AF2" s="257"/>
      <c r="AG2" s="15"/>
      <c r="AH2" s="15"/>
    </row>
    <row r="3" spans="1:34" ht="12.75">
      <c r="A3" s="247">
        <v>1</v>
      </c>
      <c r="B3" s="191" t="str">
        <f>HLOOKUP($D$1,$D$2:$AC$60,2)</f>
        <v>***2*</v>
      </c>
      <c r="C3" s="192" t="str">
        <f>HLOOKUP($D$1,$D$2:$AC$60,32)</f>
        <v>**</v>
      </c>
      <c r="D3" s="258" t="s">
        <v>537</v>
      </c>
      <c r="E3" s="258" t="s">
        <v>537</v>
      </c>
      <c r="F3" s="258" t="s">
        <v>537</v>
      </c>
      <c r="G3" s="258" t="s">
        <v>537</v>
      </c>
      <c r="H3" s="258" t="s">
        <v>537</v>
      </c>
      <c r="I3" s="273" t="s">
        <v>537</v>
      </c>
      <c r="J3" s="258" t="s">
        <v>537</v>
      </c>
      <c r="K3" s="258" t="s">
        <v>537</v>
      </c>
      <c r="L3" s="258" t="s">
        <v>537</v>
      </c>
      <c r="M3" s="258" t="s">
        <v>537</v>
      </c>
      <c r="N3" s="258" t="s">
        <v>537</v>
      </c>
      <c r="O3" s="258" t="s">
        <v>537</v>
      </c>
      <c r="P3" s="258" t="s">
        <v>537</v>
      </c>
      <c r="Q3" s="562" t="s">
        <v>537</v>
      </c>
      <c r="R3" s="258" t="s">
        <v>537</v>
      </c>
      <c r="S3" s="258" t="s">
        <v>537</v>
      </c>
      <c r="T3" s="258" t="s">
        <v>537</v>
      </c>
      <c r="U3" s="562" t="s">
        <v>537</v>
      </c>
      <c r="V3" s="273" t="s">
        <v>537</v>
      </c>
      <c r="W3" s="562" t="s">
        <v>537</v>
      </c>
      <c r="X3" s="562" t="s">
        <v>537</v>
      </c>
      <c r="Y3" s="273" t="s">
        <v>537</v>
      </c>
      <c r="Z3" s="273" t="s">
        <v>537</v>
      </c>
      <c r="AA3" s="562" t="s">
        <v>537</v>
      </c>
      <c r="AB3" s="273" t="s">
        <v>537</v>
      </c>
      <c r="AC3" s="273" t="s">
        <v>537</v>
      </c>
      <c r="AD3" s="248">
        <v>1</v>
      </c>
      <c r="AE3" s="15"/>
      <c r="AF3" s="15"/>
      <c r="AG3" s="15"/>
      <c r="AH3" s="15"/>
    </row>
    <row r="4" spans="1:34" ht="12.75">
      <c r="A4" s="247">
        <v>2</v>
      </c>
      <c r="B4" s="193" t="str">
        <f>HLOOKUP($D$1,$D$2:$AC$60,3)</f>
        <v>LTHJ20</v>
      </c>
      <c r="C4" s="194" t="str">
        <f>HLOOKUP($D$1,$D$2:$AC$60,33)</f>
        <v>TB</v>
      </c>
      <c r="D4" s="259" t="s">
        <v>807</v>
      </c>
      <c r="E4" s="259" t="s">
        <v>818</v>
      </c>
      <c r="F4" s="259" t="s">
        <v>1031</v>
      </c>
      <c r="G4" s="259" t="s">
        <v>564</v>
      </c>
      <c r="H4" s="259" t="s">
        <v>22</v>
      </c>
      <c r="I4" s="259" t="s">
        <v>566</v>
      </c>
      <c r="J4" s="259" t="s">
        <v>905</v>
      </c>
      <c r="K4" s="263" t="s">
        <v>244</v>
      </c>
      <c r="L4" s="61" t="s">
        <v>588</v>
      </c>
      <c r="M4" s="259" t="s">
        <v>694</v>
      </c>
      <c r="N4" s="61" t="s">
        <v>600</v>
      </c>
      <c r="O4" s="274" t="s">
        <v>640</v>
      </c>
      <c r="P4" s="95" t="s">
        <v>664</v>
      </c>
      <c r="Q4" s="95" t="s">
        <v>1494</v>
      </c>
      <c r="R4" s="274" t="s">
        <v>1245</v>
      </c>
      <c r="S4" s="274" t="s">
        <v>1268</v>
      </c>
      <c r="T4" s="274" t="s">
        <v>1292</v>
      </c>
      <c r="U4" s="274" t="s">
        <v>1512</v>
      </c>
      <c r="V4" s="274" t="s">
        <v>1482</v>
      </c>
      <c r="W4" s="274" t="s">
        <v>1482</v>
      </c>
      <c r="X4" s="274" t="s">
        <v>1533</v>
      </c>
      <c r="Y4" s="274" t="s">
        <v>1548</v>
      </c>
      <c r="Z4" s="274" t="s">
        <v>1560</v>
      </c>
      <c r="AA4" s="274" t="s">
        <v>1576</v>
      </c>
      <c r="AB4" s="274" t="s">
        <v>1598</v>
      </c>
      <c r="AC4" s="274" t="s">
        <v>1599</v>
      </c>
      <c r="AD4" s="248">
        <v>2</v>
      </c>
      <c r="AE4" s="15"/>
      <c r="AF4" s="15"/>
      <c r="AG4" s="15"/>
      <c r="AH4" s="15"/>
    </row>
    <row r="5" spans="1:34" ht="12.75">
      <c r="A5" s="247">
        <v>3</v>
      </c>
      <c r="B5" s="193" t="str">
        <f>HLOOKUP($D$1,$D$2:$AC$60,4)</f>
        <v>LTHJ21</v>
      </c>
      <c r="C5" s="194" t="str">
        <f>HLOOKUP($D$1,$D$2:$AC$60,34)</f>
        <v>TB</v>
      </c>
      <c r="D5" s="259" t="s">
        <v>810</v>
      </c>
      <c r="E5" s="259" t="s">
        <v>821</v>
      </c>
      <c r="F5" s="259" t="s">
        <v>1032</v>
      </c>
      <c r="G5" s="259" t="s">
        <v>565</v>
      </c>
      <c r="H5" s="259" t="s">
        <v>568</v>
      </c>
      <c r="I5" s="274" t="s">
        <v>25</v>
      </c>
      <c r="J5" s="259" t="s">
        <v>568</v>
      </c>
      <c r="K5" s="263" t="s">
        <v>245</v>
      </c>
      <c r="L5" s="61" t="s">
        <v>589</v>
      </c>
      <c r="M5" s="259" t="s">
        <v>695</v>
      </c>
      <c r="N5" s="274" t="s">
        <v>604</v>
      </c>
      <c r="O5" s="274" t="s">
        <v>641</v>
      </c>
      <c r="P5" s="95" t="s">
        <v>665</v>
      </c>
      <c r="Q5" s="95" t="s">
        <v>1495</v>
      </c>
      <c r="R5" s="274" t="s">
        <v>1246</v>
      </c>
      <c r="S5" s="274" t="s">
        <v>1269</v>
      </c>
      <c r="T5" s="274" t="s">
        <v>1293</v>
      </c>
      <c r="U5" s="274" t="s">
        <v>1513</v>
      </c>
      <c r="V5" s="274" t="s">
        <v>1483</v>
      </c>
      <c r="W5" s="274" t="s">
        <v>1483</v>
      </c>
      <c r="X5" s="274" t="s">
        <v>1534</v>
      </c>
      <c r="Y5" s="274" t="s">
        <v>1549</v>
      </c>
      <c r="Z5" s="274" t="s">
        <v>1561</v>
      </c>
      <c r="AA5" s="274" t="s">
        <v>1577</v>
      </c>
      <c r="AB5" s="274" t="s">
        <v>1600</v>
      </c>
      <c r="AC5" s="274" t="s">
        <v>1601</v>
      </c>
      <c r="AD5" s="248">
        <v>3</v>
      </c>
      <c r="AE5" s="15"/>
      <c r="AF5" s="15"/>
      <c r="AG5" s="15"/>
      <c r="AH5" s="15"/>
    </row>
    <row r="6" spans="1:34" ht="12.75">
      <c r="A6" s="247">
        <v>4</v>
      </c>
      <c r="B6" s="193" t="str">
        <f>HLOOKUP($D$1,$D$2:$AC$60,5)</f>
        <v>LTHJ22</v>
      </c>
      <c r="C6" s="194" t="str">
        <f>HLOOKUP($D$1,$D$2:$AC$60,35)</f>
        <v>TB</v>
      </c>
      <c r="D6" s="259" t="s">
        <v>830</v>
      </c>
      <c r="E6" s="259" t="s">
        <v>836</v>
      </c>
      <c r="F6" s="259" t="s">
        <v>1033</v>
      </c>
      <c r="G6" s="259" t="s">
        <v>566</v>
      </c>
      <c r="H6" s="259" t="s">
        <v>23</v>
      </c>
      <c r="I6" s="259" t="s">
        <v>568</v>
      </c>
      <c r="J6" s="259" t="s">
        <v>906</v>
      </c>
      <c r="K6" s="263" t="s">
        <v>246</v>
      </c>
      <c r="L6" s="61" t="s">
        <v>590</v>
      </c>
      <c r="M6" s="259" t="s">
        <v>696</v>
      </c>
      <c r="N6" s="274" t="s">
        <v>605</v>
      </c>
      <c r="O6" s="274" t="s">
        <v>642</v>
      </c>
      <c r="P6" s="95" t="s">
        <v>677</v>
      </c>
      <c r="Q6" s="95" t="s">
        <v>1496</v>
      </c>
      <c r="R6" s="274" t="s">
        <v>1247</v>
      </c>
      <c r="S6" s="274" t="s">
        <v>1270</v>
      </c>
      <c r="T6" s="274" t="s">
        <v>1294</v>
      </c>
      <c r="U6" s="274" t="s">
        <v>1514</v>
      </c>
      <c r="V6" s="274" t="s">
        <v>1484</v>
      </c>
      <c r="W6" s="274" t="s">
        <v>1535</v>
      </c>
      <c r="X6" s="274" t="s">
        <v>1536</v>
      </c>
      <c r="Y6" s="274" t="s">
        <v>1550</v>
      </c>
      <c r="Z6" s="274" t="s">
        <v>1562</v>
      </c>
      <c r="AA6" s="274" t="s">
        <v>1578</v>
      </c>
      <c r="AB6" s="274" t="s">
        <v>1602</v>
      </c>
      <c r="AC6" s="274" t="s">
        <v>1603</v>
      </c>
      <c r="AD6" s="248">
        <v>4</v>
      </c>
      <c r="AE6" s="15"/>
      <c r="AF6" s="15"/>
      <c r="AG6" s="15"/>
      <c r="AH6" s="15"/>
    </row>
    <row r="7" spans="1:34" ht="12.75">
      <c r="A7" s="247">
        <v>5</v>
      </c>
      <c r="B7" s="193" t="str">
        <f>HLOOKUP($D$1,$D$2:$AC$60,6)</f>
        <v>LTHJ23</v>
      </c>
      <c r="C7" s="194" t="str">
        <f>HLOOKUP($D$1,$D$2:$AC$60,36)</f>
        <v>TB</v>
      </c>
      <c r="D7" s="259" t="s">
        <v>833</v>
      </c>
      <c r="E7" s="259" t="s">
        <v>819</v>
      </c>
      <c r="F7" s="259" t="s">
        <v>1036</v>
      </c>
      <c r="G7" s="259" t="s">
        <v>567</v>
      </c>
      <c r="H7" s="259" t="s">
        <v>573</v>
      </c>
      <c r="I7" s="259" t="s">
        <v>571</v>
      </c>
      <c r="J7" s="259" t="s">
        <v>573</v>
      </c>
      <c r="K7" s="263" t="s">
        <v>247</v>
      </c>
      <c r="L7" s="61" t="s">
        <v>591</v>
      </c>
      <c r="M7" s="259" t="s">
        <v>697</v>
      </c>
      <c r="N7" s="274" t="s">
        <v>603</v>
      </c>
      <c r="O7" s="274" t="s">
        <v>643</v>
      </c>
      <c r="P7" s="95" t="s">
        <v>666</v>
      </c>
      <c r="Q7" s="95" t="s">
        <v>1497</v>
      </c>
      <c r="R7" s="274" t="s">
        <v>1248</v>
      </c>
      <c r="S7" s="274" t="s">
        <v>1271</v>
      </c>
      <c r="T7" s="274" t="s">
        <v>1295</v>
      </c>
      <c r="U7" s="274" t="s">
        <v>1515</v>
      </c>
      <c r="V7" s="274" t="s">
        <v>1485</v>
      </c>
      <c r="W7" s="274" t="s">
        <v>1484</v>
      </c>
      <c r="X7" s="274" t="s">
        <v>1537</v>
      </c>
      <c r="Y7" s="274" t="s">
        <v>1551</v>
      </c>
      <c r="Z7" s="274" t="s">
        <v>1563</v>
      </c>
      <c r="AA7" s="274" t="s">
        <v>1579</v>
      </c>
      <c r="AB7" s="274" t="s">
        <v>1604</v>
      </c>
      <c r="AC7" s="274" t="s">
        <v>1605</v>
      </c>
      <c r="AD7" s="248">
        <v>5</v>
      </c>
      <c r="AE7" s="15"/>
      <c r="AF7" s="15"/>
      <c r="AG7" s="15"/>
      <c r="AH7" s="15"/>
    </row>
    <row r="8" spans="1:34" ht="12.75">
      <c r="A8" s="247">
        <v>6</v>
      </c>
      <c r="B8" s="193" t="str">
        <f>HLOOKUP($D$1,$D$2:$AC$60,7)</f>
        <v>LTHJ24</v>
      </c>
      <c r="C8" s="194" t="str">
        <f>HLOOKUP($D$1,$D$2:$AC$60,37)</f>
        <v>TB</v>
      </c>
      <c r="D8" s="259" t="s">
        <v>808</v>
      </c>
      <c r="E8" s="259" t="s">
        <v>822</v>
      </c>
      <c r="F8" s="259" t="s">
        <v>1037</v>
      </c>
      <c r="G8" s="259" t="s">
        <v>568</v>
      </c>
      <c r="H8" s="259" t="s">
        <v>24</v>
      </c>
      <c r="I8" s="274" t="s">
        <v>26</v>
      </c>
      <c r="J8" s="259" t="s">
        <v>907</v>
      </c>
      <c r="K8" s="263" t="s">
        <v>248</v>
      </c>
      <c r="L8" s="61" t="s">
        <v>592</v>
      </c>
      <c r="M8" s="259" t="s">
        <v>698</v>
      </c>
      <c r="N8" s="61" t="s">
        <v>601</v>
      </c>
      <c r="O8" s="274" t="s">
        <v>644</v>
      </c>
      <c r="P8" s="95" t="s">
        <v>678</v>
      </c>
      <c r="Q8" s="95" t="s">
        <v>1498</v>
      </c>
      <c r="R8" s="274" t="s">
        <v>1249</v>
      </c>
      <c r="S8" s="274" t="s">
        <v>1272</v>
      </c>
      <c r="T8" s="274" t="s">
        <v>1296</v>
      </c>
      <c r="U8" s="274" t="s">
        <v>1516</v>
      </c>
      <c r="V8" s="274" t="s">
        <v>1486</v>
      </c>
      <c r="W8" s="274" t="s">
        <v>1485</v>
      </c>
      <c r="X8" s="274" t="s">
        <v>1538</v>
      </c>
      <c r="Y8" s="274" t="s">
        <v>1552</v>
      </c>
      <c r="Z8" s="274" t="s">
        <v>1564</v>
      </c>
      <c r="AA8" s="274" t="s">
        <v>1580</v>
      </c>
      <c r="AB8" s="274" t="s">
        <v>1606</v>
      </c>
      <c r="AC8" s="274" t="s">
        <v>1607</v>
      </c>
      <c r="AD8" s="248">
        <v>6</v>
      </c>
      <c r="AE8" s="15"/>
      <c r="AF8" s="15"/>
      <c r="AG8" s="15"/>
      <c r="AH8" s="15"/>
    </row>
    <row r="9" spans="1:34" ht="12.75">
      <c r="A9" s="247">
        <v>7</v>
      </c>
      <c r="B9" s="193" t="str">
        <f>HLOOKUP($D$1,$D$2:$AC$60,8)</f>
        <v>LTHJ25</v>
      </c>
      <c r="C9" s="194" t="str">
        <f>HLOOKUP($D$1,$D$2:$AC$60,38)</f>
        <v>TB</v>
      </c>
      <c r="D9" s="259" t="s">
        <v>811</v>
      </c>
      <c r="E9" s="259" t="s">
        <v>837</v>
      </c>
      <c r="F9" s="259" t="s">
        <v>1038</v>
      </c>
      <c r="G9" s="259" t="s">
        <v>569</v>
      </c>
      <c r="H9" s="259" t="s">
        <v>578</v>
      </c>
      <c r="I9" s="259" t="s">
        <v>573</v>
      </c>
      <c r="J9" s="259" t="s">
        <v>578</v>
      </c>
      <c r="K9" s="263" t="s">
        <v>249</v>
      </c>
      <c r="L9" s="61" t="s">
        <v>593</v>
      </c>
      <c r="M9" s="259" t="s">
        <v>699</v>
      </c>
      <c r="N9" s="274" t="s">
        <v>606</v>
      </c>
      <c r="O9" s="274" t="s">
        <v>645</v>
      </c>
      <c r="P9" s="95" t="s">
        <v>667</v>
      </c>
      <c r="Q9" s="95" t="s">
        <v>1499</v>
      </c>
      <c r="R9" s="274" t="s">
        <v>1250</v>
      </c>
      <c r="S9" s="274" t="s">
        <v>1273</v>
      </c>
      <c r="T9" s="274" t="s">
        <v>1297</v>
      </c>
      <c r="U9" s="274" t="s">
        <v>1517</v>
      </c>
      <c r="V9" s="274" t="s">
        <v>1487</v>
      </c>
      <c r="W9" s="274" t="s">
        <v>1539</v>
      </c>
      <c r="X9" s="274" t="s">
        <v>1540</v>
      </c>
      <c r="Y9" s="274" t="s">
        <v>1553</v>
      </c>
      <c r="Z9" s="274" t="s">
        <v>1565</v>
      </c>
      <c r="AA9" s="274" t="s">
        <v>1581</v>
      </c>
      <c r="AB9" s="274" t="s">
        <v>1608</v>
      </c>
      <c r="AC9" s="274" t="s">
        <v>1609</v>
      </c>
      <c r="AD9" s="248">
        <v>7</v>
      </c>
      <c r="AE9" s="15"/>
      <c r="AF9" s="15"/>
      <c r="AG9" s="15"/>
      <c r="AH9" s="15"/>
    </row>
    <row r="10" spans="1:34" ht="12.75">
      <c r="A10" s="247">
        <v>8</v>
      </c>
      <c r="B10" s="193" t="str">
        <f>HLOOKUP($D$1,$D$2:$AC$60,9)</f>
        <v>LUHJ20</v>
      </c>
      <c r="C10" s="194" t="str">
        <f>HLOOKUP($D$1,$D$2:$AC$60,39)</f>
        <v>TC</v>
      </c>
      <c r="D10" s="259" t="s">
        <v>831</v>
      </c>
      <c r="E10" s="259" t="s">
        <v>820</v>
      </c>
      <c r="F10" s="259" t="s">
        <v>1041</v>
      </c>
      <c r="G10" s="259" t="s">
        <v>570</v>
      </c>
      <c r="H10" s="259" t="s">
        <v>128</v>
      </c>
      <c r="I10" s="259" t="s">
        <v>576</v>
      </c>
      <c r="J10" s="259" t="s">
        <v>908</v>
      </c>
      <c r="K10" s="263" t="s">
        <v>250</v>
      </c>
      <c r="L10" s="61" t="s">
        <v>594</v>
      </c>
      <c r="M10" s="259" t="s">
        <v>1073</v>
      </c>
      <c r="N10" s="274" t="s">
        <v>607</v>
      </c>
      <c r="O10" s="274" t="s">
        <v>646</v>
      </c>
      <c r="P10" s="95" t="s">
        <v>668</v>
      </c>
      <c r="Q10" s="95" t="s">
        <v>1500</v>
      </c>
      <c r="R10" s="274" t="s">
        <v>1251</v>
      </c>
      <c r="S10" s="274" t="s">
        <v>1274</v>
      </c>
      <c r="T10" s="274" t="s">
        <v>1298</v>
      </c>
      <c r="U10" s="274" t="s">
        <v>1518</v>
      </c>
      <c r="V10" s="95" t="s">
        <v>1073</v>
      </c>
      <c r="W10" s="274" t="s">
        <v>1486</v>
      </c>
      <c r="X10" s="563" t="s">
        <v>1073</v>
      </c>
      <c r="Y10" s="95" t="s">
        <v>1073</v>
      </c>
      <c r="Z10" s="274" t="s">
        <v>1566</v>
      </c>
      <c r="AA10" s="274" t="s">
        <v>1582</v>
      </c>
      <c r="AB10" s="274" t="s">
        <v>1610</v>
      </c>
      <c r="AC10" s="274" t="s">
        <v>1611</v>
      </c>
      <c r="AD10" s="248">
        <v>8</v>
      </c>
      <c r="AE10" s="15"/>
      <c r="AF10" s="15"/>
      <c r="AG10" s="15"/>
      <c r="AH10" s="15"/>
    </row>
    <row r="11" spans="1:34" ht="12.75">
      <c r="A11" s="247">
        <v>9</v>
      </c>
      <c r="B11" s="193" t="str">
        <f>HLOOKUP($D$1,$D$2:$AC$60,10)</f>
        <v>LUHJ21</v>
      </c>
      <c r="C11" s="194" t="str">
        <f>HLOOKUP($D$1,$D$2:$AC$60,40)</f>
        <v>TC</v>
      </c>
      <c r="D11" s="259" t="s">
        <v>834</v>
      </c>
      <c r="E11" s="259" t="s">
        <v>823</v>
      </c>
      <c r="F11" s="259" t="s">
        <v>1042</v>
      </c>
      <c r="G11" s="259" t="s">
        <v>571</v>
      </c>
      <c r="H11" s="259" t="s">
        <v>129</v>
      </c>
      <c r="I11" s="274" t="s">
        <v>27</v>
      </c>
      <c r="J11" s="259" t="s">
        <v>909</v>
      </c>
      <c r="K11" s="263" t="s">
        <v>251</v>
      </c>
      <c r="L11" s="61" t="s">
        <v>595</v>
      </c>
      <c r="M11" s="259" t="s">
        <v>1073</v>
      </c>
      <c r="N11" s="274" t="s">
        <v>608</v>
      </c>
      <c r="O11" s="274" t="s">
        <v>647</v>
      </c>
      <c r="P11" s="95" t="s">
        <v>679</v>
      </c>
      <c r="Q11" s="95" t="s">
        <v>1501</v>
      </c>
      <c r="R11" s="274" t="s">
        <v>1252</v>
      </c>
      <c r="S11" s="274" t="s">
        <v>1275</v>
      </c>
      <c r="T11" s="274" t="s">
        <v>1299</v>
      </c>
      <c r="U11" s="274" t="s">
        <v>1519</v>
      </c>
      <c r="V11" s="95" t="s">
        <v>1073</v>
      </c>
      <c r="W11" s="274" t="s">
        <v>1487</v>
      </c>
      <c r="X11" s="563" t="s">
        <v>1073</v>
      </c>
      <c r="Y11" s="95" t="s">
        <v>1073</v>
      </c>
      <c r="Z11" s="274" t="s">
        <v>1567</v>
      </c>
      <c r="AA11" s="274" t="s">
        <v>1583</v>
      </c>
      <c r="AB11" s="274" t="s">
        <v>1612</v>
      </c>
      <c r="AC11" s="274" t="s">
        <v>1613</v>
      </c>
      <c r="AD11" s="248">
        <v>9</v>
      </c>
      <c r="AE11" s="15"/>
      <c r="AF11" s="15"/>
      <c r="AG11" s="15"/>
      <c r="AH11" s="15"/>
    </row>
    <row r="12" spans="1:34" ht="12.75">
      <c r="A12" s="247">
        <v>10</v>
      </c>
      <c r="B12" s="193" t="str">
        <f>HLOOKUP($D$1,$D$2:$AC$60,11)</f>
        <v>LUHJ22</v>
      </c>
      <c r="C12" s="194" t="str">
        <f>HLOOKUP($D$1,$D$2:$AC$60,41)</f>
        <v>TC</v>
      </c>
      <c r="D12" s="259" t="s">
        <v>809</v>
      </c>
      <c r="E12" s="259" t="s">
        <v>838</v>
      </c>
      <c r="F12" s="259" t="s">
        <v>1043</v>
      </c>
      <c r="G12" s="259" t="s">
        <v>572</v>
      </c>
      <c r="H12" s="259" t="s">
        <v>566</v>
      </c>
      <c r="I12" s="259" t="s">
        <v>578</v>
      </c>
      <c r="J12" s="259" t="s">
        <v>566</v>
      </c>
      <c r="K12" s="263" t="s">
        <v>252</v>
      </c>
      <c r="L12" s="61" t="s">
        <v>596</v>
      </c>
      <c r="M12" s="259" t="s">
        <v>1073</v>
      </c>
      <c r="N12" s="61" t="s">
        <v>602</v>
      </c>
      <c r="O12" s="274" t="s">
        <v>648</v>
      </c>
      <c r="P12" s="95" t="s">
        <v>669</v>
      </c>
      <c r="Q12" s="95" t="s">
        <v>1502</v>
      </c>
      <c r="R12" s="274" t="s">
        <v>1253</v>
      </c>
      <c r="S12" s="274" t="s">
        <v>1276</v>
      </c>
      <c r="T12" s="274" t="s">
        <v>1300</v>
      </c>
      <c r="U12" s="274" t="s">
        <v>1520</v>
      </c>
      <c r="V12" s="95" t="s">
        <v>1073</v>
      </c>
      <c r="W12" s="61" t="s">
        <v>1541</v>
      </c>
      <c r="X12" s="563" t="s">
        <v>1073</v>
      </c>
      <c r="Y12" s="95" t="s">
        <v>1073</v>
      </c>
      <c r="Z12" s="274" t="s">
        <v>1568</v>
      </c>
      <c r="AA12" s="274" t="s">
        <v>1584</v>
      </c>
      <c r="AB12" s="274" t="s">
        <v>1614</v>
      </c>
      <c r="AC12" s="274" t="s">
        <v>1615</v>
      </c>
      <c r="AD12" s="248">
        <v>10</v>
      </c>
      <c r="AE12" s="15"/>
      <c r="AF12" s="15"/>
      <c r="AG12" s="15"/>
      <c r="AH12" s="15"/>
    </row>
    <row r="13" spans="1:34" ht="12.75">
      <c r="A13" s="247">
        <v>11</v>
      </c>
      <c r="B13" s="193" t="str">
        <f>HLOOKUP($D$1,$D$2:$AC$60,12)</f>
        <v>LUHJ23</v>
      </c>
      <c r="C13" s="194" t="str">
        <f>HLOOKUP($D$1,$D$2:$AC$60,42)</f>
        <v>TC</v>
      </c>
      <c r="D13" s="259" t="s">
        <v>812</v>
      </c>
      <c r="E13" s="259" t="s">
        <v>1073</v>
      </c>
      <c r="F13" s="259" t="s">
        <v>162</v>
      </c>
      <c r="G13" s="259" t="s">
        <v>573</v>
      </c>
      <c r="H13" s="259" t="s">
        <v>130</v>
      </c>
      <c r="I13" s="274" t="s">
        <v>138</v>
      </c>
      <c r="J13" s="259" t="s">
        <v>910</v>
      </c>
      <c r="K13" s="263" t="s">
        <v>253</v>
      </c>
      <c r="L13" s="61" t="s">
        <v>597</v>
      </c>
      <c r="M13" s="259" t="s">
        <v>1073</v>
      </c>
      <c r="N13" s="274" t="s">
        <v>609</v>
      </c>
      <c r="O13" s="274" t="s">
        <v>649</v>
      </c>
      <c r="P13" s="95" t="s">
        <v>680</v>
      </c>
      <c r="Q13" s="95" t="s">
        <v>1503</v>
      </c>
      <c r="R13" s="274" t="s">
        <v>1254</v>
      </c>
      <c r="S13" s="274" t="s">
        <v>1277</v>
      </c>
      <c r="T13" s="274" t="s">
        <v>1301</v>
      </c>
      <c r="U13" s="274" t="s">
        <v>1521</v>
      </c>
      <c r="V13" s="95" t="s">
        <v>1073</v>
      </c>
      <c r="W13" s="563" t="s">
        <v>1073</v>
      </c>
      <c r="X13" s="563" t="s">
        <v>1073</v>
      </c>
      <c r="Y13" s="95" t="s">
        <v>1073</v>
      </c>
      <c r="Z13" s="274" t="s">
        <v>1569</v>
      </c>
      <c r="AA13" s="274" t="s">
        <v>1585</v>
      </c>
      <c r="AB13" s="274" t="s">
        <v>1616</v>
      </c>
      <c r="AC13" s="95" t="s">
        <v>1073</v>
      </c>
      <c r="AD13" s="248">
        <v>11</v>
      </c>
      <c r="AE13" s="15"/>
      <c r="AF13" s="15"/>
      <c r="AG13" s="15"/>
      <c r="AH13" s="15"/>
    </row>
    <row r="14" spans="1:34" ht="12.75">
      <c r="A14" s="247">
        <v>12</v>
      </c>
      <c r="B14" s="193" t="str">
        <f>HLOOKUP($D$1,$D$2:$AC$60,13)</f>
        <v>LUHJ24</v>
      </c>
      <c r="C14" s="194" t="str">
        <f>HLOOKUP($D$1,$D$2:$AC$60,43)</f>
        <v>TC</v>
      </c>
      <c r="D14" s="259" t="s">
        <v>832</v>
      </c>
      <c r="E14" s="259" t="s">
        <v>1073</v>
      </c>
      <c r="F14" s="259" t="s">
        <v>163</v>
      </c>
      <c r="G14" s="259" t="s">
        <v>574</v>
      </c>
      <c r="H14" s="259" t="s">
        <v>131</v>
      </c>
      <c r="I14" s="274" t="s">
        <v>139</v>
      </c>
      <c r="J14" s="259" t="s">
        <v>911</v>
      </c>
      <c r="K14" s="263" t="s">
        <v>254</v>
      </c>
      <c r="L14" s="61" t="s">
        <v>598</v>
      </c>
      <c r="M14" s="259" t="s">
        <v>1073</v>
      </c>
      <c r="N14" s="274" t="s">
        <v>610</v>
      </c>
      <c r="O14" s="274" t="s">
        <v>650</v>
      </c>
      <c r="P14" s="95" t="s">
        <v>670</v>
      </c>
      <c r="Q14" s="95" t="s">
        <v>1504</v>
      </c>
      <c r="R14" s="274" t="s">
        <v>1255</v>
      </c>
      <c r="S14" s="274" t="s">
        <v>1278</v>
      </c>
      <c r="T14" s="274" t="s">
        <v>1302</v>
      </c>
      <c r="U14" s="274" t="s">
        <v>1522</v>
      </c>
      <c r="V14" s="95" t="s">
        <v>1073</v>
      </c>
      <c r="W14" s="563" t="s">
        <v>1073</v>
      </c>
      <c r="X14" s="563" t="s">
        <v>1073</v>
      </c>
      <c r="Y14" s="95" t="s">
        <v>1073</v>
      </c>
      <c r="Z14" s="274" t="s">
        <v>1570</v>
      </c>
      <c r="AA14" s="274" t="s">
        <v>1586</v>
      </c>
      <c r="AB14" s="274" t="s">
        <v>1617</v>
      </c>
      <c r="AC14" s="95" t="s">
        <v>1073</v>
      </c>
      <c r="AD14" s="248">
        <v>12</v>
      </c>
      <c r="AE14" s="15"/>
      <c r="AF14" s="15"/>
      <c r="AG14" s="15"/>
      <c r="AH14" s="15"/>
    </row>
    <row r="15" spans="1:34" ht="12.75">
      <c r="A15" s="247">
        <v>13</v>
      </c>
      <c r="B15" s="193" t="str">
        <f>HLOOKUP($D$1,$D$2:$AC$60,14)</f>
        <v>LUHJ25</v>
      </c>
      <c r="C15" s="194" t="str">
        <f>HLOOKUP($D$1,$D$2:$AC$60,44)</f>
        <v>TC</v>
      </c>
      <c r="D15" s="259" t="s">
        <v>835</v>
      </c>
      <c r="E15" s="259" t="s">
        <v>1073</v>
      </c>
      <c r="F15" s="259" t="s">
        <v>164</v>
      </c>
      <c r="G15" s="259" t="s">
        <v>575</v>
      </c>
      <c r="H15" s="259" t="s">
        <v>571</v>
      </c>
      <c r="I15" s="274" t="s">
        <v>28</v>
      </c>
      <c r="J15" s="259" t="s">
        <v>571</v>
      </c>
      <c r="K15" s="263" t="s">
        <v>255</v>
      </c>
      <c r="L15" s="61" t="s">
        <v>599</v>
      </c>
      <c r="M15" s="259" t="s">
        <v>1073</v>
      </c>
      <c r="N15" s="274" t="s">
        <v>611</v>
      </c>
      <c r="O15" s="274" t="s">
        <v>651</v>
      </c>
      <c r="P15" s="95" t="s">
        <v>671</v>
      </c>
      <c r="Q15" s="95" t="s">
        <v>1505</v>
      </c>
      <c r="R15" s="274" t="s">
        <v>1256</v>
      </c>
      <c r="S15" s="274" t="s">
        <v>1279</v>
      </c>
      <c r="T15" s="274" t="s">
        <v>1303</v>
      </c>
      <c r="U15" s="274" t="s">
        <v>1523</v>
      </c>
      <c r="V15" s="95" t="s">
        <v>1073</v>
      </c>
      <c r="W15" s="563" t="s">
        <v>1073</v>
      </c>
      <c r="X15" s="563" t="s">
        <v>1073</v>
      </c>
      <c r="Y15" s="95" t="s">
        <v>1073</v>
      </c>
      <c r="Z15" s="274" t="s">
        <v>1571</v>
      </c>
      <c r="AA15" s="274" t="s">
        <v>1587</v>
      </c>
      <c r="AB15" s="274" t="s">
        <v>1618</v>
      </c>
      <c r="AC15" s="95" t="s">
        <v>1073</v>
      </c>
      <c r="AD15" s="248">
        <v>13</v>
      </c>
      <c r="AE15" s="15"/>
      <c r="AF15" s="15"/>
      <c r="AG15" s="15"/>
      <c r="AH15" s="15"/>
    </row>
    <row r="16" spans="1:34" ht="12.75">
      <c r="A16" s="247">
        <v>14</v>
      </c>
      <c r="B16" s="193" t="str">
        <f>HLOOKUP($D$1,$D$2:$AC$60,15)</f>
        <v>LVHJ20</v>
      </c>
      <c r="C16" s="194" t="str">
        <f>HLOOKUP($D$1,$D$2:$AC$60,45)</f>
        <v>TD</v>
      </c>
      <c r="D16" s="259" t="s">
        <v>1073</v>
      </c>
      <c r="E16" s="259" t="s">
        <v>1073</v>
      </c>
      <c r="F16" s="259" t="s">
        <v>165</v>
      </c>
      <c r="G16" s="259" t="s">
        <v>576</v>
      </c>
      <c r="H16" s="259" t="s">
        <v>132</v>
      </c>
      <c r="I16" s="274" t="s">
        <v>29</v>
      </c>
      <c r="J16" s="259" t="s">
        <v>912</v>
      </c>
      <c r="K16" s="259" t="s">
        <v>1073</v>
      </c>
      <c r="L16" s="259" t="s">
        <v>1073</v>
      </c>
      <c r="M16" s="259" t="s">
        <v>1073</v>
      </c>
      <c r="N16" s="259" t="s">
        <v>1073</v>
      </c>
      <c r="O16" s="274" t="s">
        <v>652</v>
      </c>
      <c r="P16" s="95" t="s">
        <v>681</v>
      </c>
      <c r="Q16" s="95" t="s">
        <v>1506</v>
      </c>
      <c r="R16" s="274" t="s">
        <v>1257</v>
      </c>
      <c r="S16" s="274" t="s">
        <v>1280</v>
      </c>
      <c r="T16" s="274" t="s">
        <v>1304</v>
      </c>
      <c r="U16" s="274" t="s">
        <v>1524</v>
      </c>
      <c r="V16" s="95" t="s">
        <v>1073</v>
      </c>
      <c r="W16" s="563" t="s">
        <v>1073</v>
      </c>
      <c r="X16" s="563" t="s">
        <v>1073</v>
      </c>
      <c r="Y16" s="95" t="s">
        <v>1073</v>
      </c>
      <c r="Z16" s="95" t="s">
        <v>1073</v>
      </c>
      <c r="AA16" s="274" t="s">
        <v>1588</v>
      </c>
      <c r="AB16" s="274" t="s">
        <v>1619</v>
      </c>
      <c r="AC16" s="95" t="s">
        <v>1073</v>
      </c>
      <c r="AD16" s="248">
        <v>14</v>
      </c>
      <c r="AE16" s="15"/>
      <c r="AF16" s="15"/>
      <c r="AG16" s="15"/>
      <c r="AH16" s="15"/>
    </row>
    <row r="17" spans="1:34" ht="12.75">
      <c r="A17" s="247">
        <v>15</v>
      </c>
      <c r="B17" s="193" t="str">
        <f>HLOOKUP($D$1,$D$2:$AC$60,16)</f>
        <v>LVHJ21</v>
      </c>
      <c r="C17" s="194" t="str">
        <f>HLOOKUP($D$1,$D$2:$AC$60,46)</f>
        <v>TD</v>
      </c>
      <c r="D17" s="259" t="s">
        <v>1073</v>
      </c>
      <c r="E17" s="259" t="s">
        <v>1073</v>
      </c>
      <c r="F17" s="259" t="s">
        <v>166</v>
      </c>
      <c r="G17" s="259" t="s">
        <v>577</v>
      </c>
      <c r="H17" s="259" t="s">
        <v>133</v>
      </c>
      <c r="I17" s="274" t="s">
        <v>140</v>
      </c>
      <c r="J17" s="259" t="s">
        <v>913</v>
      </c>
      <c r="K17" s="259" t="s">
        <v>1073</v>
      </c>
      <c r="L17" s="259" t="s">
        <v>1073</v>
      </c>
      <c r="M17" s="259" t="s">
        <v>1073</v>
      </c>
      <c r="N17" s="259" t="s">
        <v>1073</v>
      </c>
      <c r="O17" s="274" t="s">
        <v>653</v>
      </c>
      <c r="P17" s="95" t="s">
        <v>672</v>
      </c>
      <c r="Q17" s="95" t="s">
        <v>1507</v>
      </c>
      <c r="R17" s="274" t="s">
        <v>1258</v>
      </c>
      <c r="S17" s="274" t="s">
        <v>1281</v>
      </c>
      <c r="T17" s="274" t="s">
        <v>1305</v>
      </c>
      <c r="U17" s="274" t="s">
        <v>1525</v>
      </c>
      <c r="V17" s="95" t="s">
        <v>1073</v>
      </c>
      <c r="W17" s="563" t="s">
        <v>1073</v>
      </c>
      <c r="X17" s="563" t="s">
        <v>1073</v>
      </c>
      <c r="Y17" s="95" t="s">
        <v>1073</v>
      </c>
      <c r="Z17" s="95" t="s">
        <v>1073</v>
      </c>
      <c r="AA17" s="274" t="s">
        <v>1589</v>
      </c>
      <c r="AB17" s="274" t="s">
        <v>1620</v>
      </c>
      <c r="AC17" s="95" t="s">
        <v>1073</v>
      </c>
      <c r="AD17" s="248">
        <v>15</v>
      </c>
      <c r="AE17" s="15"/>
      <c r="AF17" s="15"/>
      <c r="AG17" s="15"/>
      <c r="AH17" s="15"/>
    </row>
    <row r="18" spans="1:34" ht="12.75">
      <c r="A18" s="247">
        <v>16</v>
      </c>
      <c r="B18" s="193" t="str">
        <f>HLOOKUP($D$1,$D$2:$AC$60,17)</f>
        <v>LVHJ22</v>
      </c>
      <c r="C18" s="194" t="str">
        <f>HLOOKUP($D$1,$D$2:$AC$60,47)</f>
        <v>TD</v>
      </c>
      <c r="D18" s="259" t="s">
        <v>1073</v>
      </c>
      <c r="E18" s="259" t="s">
        <v>1073</v>
      </c>
      <c r="F18" s="259" t="s">
        <v>167</v>
      </c>
      <c r="G18" s="259" t="s">
        <v>578</v>
      </c>
      <c r="H18" s="259" t="s">
        <v>576</v>
      </c>
      <c r="I18" s="274" t="s">
        <v>141</v>
      </c>
      <c r="J18" s="259" t="s">
        <v>576</v>
      </c>
      <c r="K18" s="259" t="s">
        <v>1073</v>
      </c>
      <c r="L18" s="259" t="s">
        <v>1073</v>
      </c>
      <c r="M18" s="259" t="s">
        <v>1073</v>
      </c>
      <c r="N18" s="259" t="s">
        <v>1073</v>
      </c>
      <c r="O18" s="274" t="s">
        <v>654</v>
      </c>
      <c r="P18" s="95" t="s">
        <v>682</v>
      </c>
      <c r="Q18" s="95" t="s">
        <v>1508</v>
      </c>
      <c r="R18" s="274" t="s">
        <v>1259</v>
      </c>
      <c r="S18" s="274" t="s">
        <v>1282</v>
      </c>
      <c r="T18" s="274" t="s">
        <v>1306</v>
      </c>
      <c r="U18" s="274" t="s">
        <v>1526</v>
      </c>
      <c r="V18" s="95" t="s">
        <v>1073</v>
      </c>
      <c r="W18" s="563" t="s">
        <v>1073</v>
      </c>
      <c r="X18" s="563" t="s">
        <v>1073</v>
      </c>
      <c r="Y18" s="95" t="s">
        <v>1073</v>
      </c>
      <c r="Z18" s="95" t="s">
        <v>1073</v>
      </c>
      <c r="AA18" s="274" t="s">
        <v>1590</v>
      </c>
      <c r="AB18" s="95" t="s">
        <v>1073</v>
      </c>
      <c r="AC18" s="95" t="s">
        <v>1073</v>
      </c>
      <c r="AD18" s="248">
        <v>16</v>
      </c>
      <c r="AE18" s="15"/>
      <c r="AF18" s="15"/>
      <c r="AG18" s="15"/>
      <c r="AH18" s="15"/>
    </row>
    <row r="19" spans="1:34" ht="12.75">
      <c r="A19" s="247">
        <v>17</v>
      </c>
      <c r="B19" s="193" t="str">
        <f>HLOOKUP($D$1,$D$2:$AC$60,18)</f>
        <v>LVHJ23</v>
      </c>
      <c r="C19" s="194" t="str">
        <f>HLOOKUP($D$1,$D$2:$AC$60,48)</f>
        <v>TD</v>
      </c>
      <c r="D19" s="259" t="s">
        <v>1073</v>
      </c>
      <c r="E19" s="259" t="s">
        <v>1073</v>
      </c>
      <c r="F19" s="259" t="s">
        <v>1073</v>
      </c>
      <c r="G19" s="259" t="s">
        <v>1073</v>
      </c>
      <c r="H19" s="259" t="s">
        <v>1073</v>
      </c>
      <c r="I19" s="274" t="s">
        <v>30</v>
      </c>
      <c r="J19" s="259" t="s">
        <v>1073</v>
      </c>
      <c r="K19" s="259" t="s">
        <v>1073</v>
      </c>
      <c r="L19" s="259" t="s">
        <v>1073</v>
      </c>
      <c r="M19" s="259" t="s">
        <v>1073</v>
      </c>
      <c r="N19" s="259" t="s">
        <v>1073</v>
      </c>
      <c r="O19" s="274" t="s">
        <v>655</v>
      </c>
      <c r="P19" s="259" t="s">
        <v>1073</v>
      </c>
      <c r="Q19" s="563" t="s">
        <v>1073</v>
      </c>
      <c r="R19" s="274" t="s">
        <v>1260</v>
      </c>
      <c r="S19" s="274" t="s">
        <v>1283</v>
      </c>
      <c r="T19" s="274" t="s">
        <v>1307</v>
      </c>
      <c r="U19" s="274" t="s">
        <v>1527</v>
      </c>
      <c r="V19" s="95" t="s">
        <v>1073</v>
      </c>
      <c r="W19" s="563" t="s">
        <v>1073</v>
      </c>
      <c r="X19" s="563" t="s">
        <v>1073</v>
      </c>
      <c r="Y19" s="95" t="s">
        <v>1073</v>
      </c>
      <c r="Z19" s="95" t="s">
        <v>1073</v>
      </c>
      <c r="AA19" s="274" t="s">
        <v>1591</v>
      </c>
      <c r="AB19" s="95" t="s">
        <v>1073</v>
      </c>
      <c r="AC19" s="95" t="s">
        <v>1073</v>
      </c>
      <c r="AD19" s="248">
        <v>17</v>
      </c>
      <c r="AE19" s="15"/>
      <c r="AF19" s="15"/>
      <c r="AG19" s="15"/>
      <c r="AH19" s="15"/>
    </row>
    <row r="20" spans="1:34" ht="12.75">
      <c r="A20" s="247">
        <v>18</v>
      </c>
      <c r="B20" s="193" t="str">
        <f>HLOOKUP($D$1,$D$2:$AC$60,19)</f>
        <v>LVHJ24</v>
      </c>
      <c r="C20" s="194" t="str">
        <f>HLOOKUP($D$1,$D$2:$AC$60,49)</f>
        <v>TD</v>
      </c>
      <c r="D20" s="259" t="s">
        <v>1073</v>
      </c>
      <c r="E20" s="259" t="s">
        <v>1073</v>
      </c>
      <c r="F20" s="259" t="s">
        <v>1073</v>
      </c>
      <c r="G20" s="259" t="s">
        <v>1073</v>
      </c>
      <c r="H20" s="259" t="s">
        <v>1073</v>
      </c>
      <c r="I20" s="274" t="s">
        <v>31</v>
      </c>
      <c r="J20" s="259" t="s">
        <v>1073</v>
      </c>
      <c r="K20" s="259" t="s">
        <v>1073</v>
      </c>
      <c r="L20" s="259" t="s">
        <v>1073</v>
      </c>
      <c r="M20" s="259" t="s">
        <v>1073</v>
      </c>
      <c r="N20" s="259" t="s">
        <v>1073</v>
      </c>
      <c r="O20" s="274" t="s">
        <v>656</v>
      </c>
      <c r="P20" s="259" t="s">
        <v>1073</v>
      </c>
      <c r="Q20" s="563" t="s">
        <v>1073</v>
      </c>
      <c r="R20" s="274" t="s">
        <v>1261</v>
      </c>
      <c r="S20" s="274" t="s">
        <v>1284</v>
      </c>
      <c r="T20" s="274" t="s">
        <v>1308</v>
      </c>
      <c r="U20" s="274" t="s">
        <v>1528</v>
      </c>
      <c r="V20" s="95" t="s">
        <v>1073</v>
      </c>
      <c r="W20" s="563" t="s">
        <v>1073</v>
      </c>
      <c r="X20" s="563" t="s">
        <v>1073</v>
      </c>
      <c r="Y20" s="95" t="s">
        <v>1073</v>
      </c>
      <c r="Z20" s="95" t="s">
        <v>1073</v>
      </c>
      <c r="AA20" s="274" t="s">
        <v>1592</v>
      </c>
      <c r="AB20" s="95" t="s">
        <v>1073</v>
      </c>
      <c r="AC20" s="95" t="s">
        <v>1073</v>
      </c>
      <c r="AD20" s="248">
        <v>18</v>
      </c>
      <c r="AE20" s="15"/>
      <c r="AF20" s="15"/>
      <c r="AG20" s="15"/>
      <c r="AH20" s="15"/>
    </row>
    <row r="21" spans="1:34" ht="12.75">
      <c r="A21" s="247">
        <v>19</v>
      </c>
      <c r="B21" s="193" t="str">
        <f>HLOOKUP($D$1,$D$2:$AC$60,20)</f>
        <v>LVHJ25</v>
      </c>
      <c r="C21" s="194" t="str">
        <f>HLOOKUP($D$1,$D$2:$AC$60,50)</f>
        <v>TD</v>
      </c>
      <c r="D21" s="259" t="s">
        <v>1073</v>
      </c>
      <c r="E21" s="259" t="s">
        <v>1073</v>
      </c>
      <c r="F21" s="259" t="s">
        <v>1073</v>
      </c>
      <c r="G21" s="259" t="s">
        <v>1073</v>
      </c>
      <c r="H21" s="259" t="s">
        <v>1073</v>
      </c>
      <c r="I21" s="274" t="s">
        <v>142</v>
      </c>
      <c r="J21" s="259" t="s">
        <v>1073</v>
      </c>
      <c r="K21" s="259" t="s">
        <v>1073</v>
      </c>
      <c r="L21" s="259" t="s">
        <v>1073</v>
      </c>
      <c r="M21" s="259" t="s">
        <v>1073</v>
      </c>
      <c r="N21" s="259" t="s">
        <v>1073</v>
      </c>
      <c r="O21" s="274" t="s">
        <v>657</v>
      </c>
      <c r="P21" s="259" t="s">
        <v>1073</v>
      </c>
      <c r="Q21" s="563" t="s">
        <v>1073</v>
      </c>
      <c r="R21" s="274" t="s">
        <v>1262</v>
      </c>
      <c r="S21" s="274" t="s">
        <v>1285</v>
      </c>
      <c r="T21" s="274" t="s">
        <v>1309</v>
      </c>
      <c r="U21" s="274" t="s">
        <v>1529</v>
      </c>
      <c r="V21" s="95" t="s">
        <v>1073</v>
      </c>
      <c r="W21" s="563" t="s">
        <v>1073</v>
      </c>
      <c r="X21" s="563" t="s">
        <v>1073</v>
      </c>
      <c r="Y21" s="95" t="s">
        <v>1073</v>
      </c>
      <c r="Z21" s="95" t="s">
        <v>1073</v>
      </c>
      <c r="AA21" s="274" t="s">
        <v>1593</v>
      </c>
      <c r="AB21" s="95" t="s">
        <v>1073</v>
      </c>
      <c r="AC21" s="95" t="s">
        <v>1073</v>
      </c>
      <c r="AD21" s="248">
        <v>19</v>
      </c>
      <c r="AE21" s="15"/>
      <c r="AF21" s="15"/>
      <c r="AG21" s="15"/>
      <c r="AH21" s="15"/>
    </row>
    <row r="22" spans="1:34" ht="12.75">
      <c r="A22" s="247">
        <v>20</v>
      </c>
      <c r="B22" s="193" t="str">
        <f>HLOOKUP($D$1,$D$2:$AC$60,21)</f>
        <v> </v>
      </c>
      <c r="C22" s="194" t="str">
        <f>HLOOKUP($D$1,$D$2:$AC$60,51)</f>
        <v> </v>
      </c>
      <c r="D22" s="259" t="s">
        <v>1073</v>
      </c>
      <c r="E22" s="259" t="s">
        <v>1073</v>
      </c>
      <c r="F22" s="259" t="s">
        <v>1073</v>
      </c>
      <c r="G22" s="259" t="s">
        <v>1073</v>
      </c>
      <c r="H22" s="259" t="s">
        <v>1073</v>
      </c>
      <c r="I22" s="274" t="s">
        <v>143</v>
      </c>
      <c r="J22" s="259" t="s">
        <v>1073</v>
      </c>
      <c r="K22" s="259" t="s">
        <v>1073</v>
      </c>
      <c r="L22" s="259" t="s">
        <v>1073</v>
      </c>
      <c r="M22" s="259" t="s">
        <v>1073</v>
      </c>
      <c r="N22" s="259" t="s">
        <v>1073</v>
      </c>
      <c r="O22" s="259" t="s">
        <v>1073</v>
      </c>
      <c r="P22" s="259" t="s">
        <v>1073</v>
      </c>
      <c r="Q22" s="563" t="s">
        <v>1073</v>
      </c>
      <c r="R22" s="259" t="s">
        <v>1073</v>
      </c>
      <c r="S22" s="259" t="s">
        <v>1073</v>
      </c>
      <c r="T22" s="259" t="s">
        <v>1073</v>
      </c>
      <c r="U22" s="563" t="s">
        <v>1073</v>
      </c>
      <c r="V22" s="95" t="s">
        <v>1073</v>
      </c>
      <c r="W22" s="563" t="s">
        <v>1073</v>
      </c>
      <c r="X22" s="563" t="s">
        <v>1073</v>
      </c>
      <c r="Y22" s="95" t="s">
        <v>1073</v>
      </c>
      <c r="Z22" s="95" t="s">
        <v>1073</v>
      </c>
      <c r="AA22" s="563" t="s">
        <v>1073</v>
      </c>
      <c r="AB22" s="95" t="s">
        <v>1073</v>
      </c>
      <c r="AC22" s="95" t="s">
        <v>1073</v>
      </c>
      <c r="AD22" s="248">
        <v>20</v>
      </c>
      <c r="AE22" s="15"/>
      <c r="AF22" s="15"/>
      <c r="AG22" s="15"/>
      <c r="AH22" s="15"/>
    </row>
    <row r="23" spans="1:34" ht="12.75">
      <c r="A23" s="247">
        <v>21</v>
      </c>
      <c r="B23" s="193" t="str">
        <f>HLOOKUP($D$1,$D$2:$AC$60,22)</f>
        <v> </v>
      </c>
      <c r="C23" s="194" t="str">
        <f>HLOOKUP($D$1,$D$2:$AC$60,52)</f>
        <v> </v>
      </c>
      <c r="D23" s="259" t="s">
        <v>1073</v>
      </c>
      <c r="E23" s="259" t="s">
        <v>1073</v>
      </c>
      <c r="F23" s="259" t="s">
        <v>1073</v>
      </c>
      <c r="G23" s="259" t="s">
        <v>1073</v>
      </c>
      <c r="H23" s="259" t="s">
        <v>1073</v>
      </c>
      <c r="I23" s="274" t="s">
        <v>32</v>
      </c>
      <c r="J23" s="259" t="s">
        <v>1073</v>
      </c>
      <c r="K23" s="259" t="s">
        <v>1073</v>
      </c>
      <c r="L23" s="259" t="s">
        <v>1073</v>
      </c>
      <c r="M23" s="259" t="s">
        <v>1073</v>
      </c>
      <c r="N23" s="259" t="s">
        <v>1073</v>
      </c>
      <c r="O23" s="259" t="s">
        <v>1073</v>
      </c>
      <c r="P23" s="259" t="s">
        <v>1073</v>
      </c>
      <c r="Q23" s="563" t="s">
        <v>1073</v>
      </c>
      <c r="R23" s="259" t="s">
        <v>1073</v>
      </c>
      <c r="S23" s="259" t="s">
        <v>1073</v>
      </c>
      <c r="T23" s="259" t="s">
        <v>1073</v>
      </c>
      <c r="U23" s="563" t="s">
        <v>1073</v>
      </c>
      <c r="V23" s="95" t="s">
        <v>1073</v>
      </c>
      <c r="W23" s="563" t="s">
        <v>1073</v>
      </c>
      <c r="X23" s="563" t="s">
        <v>1073</v>
      </c>
      <c r="Y23" s="95" t="s">
        <v>1073</v>
      </c>
      <c r="Z23" s="95" t="s">
        <v>1073</v>
      </c>
      <c r="AA23" s="563" t="s">
        <v>1073</v>
      </c>
      <c r="AB23" s="95" t="s">
        <v>1073</v>
      </c>
      <c r="AC23" s="95" t="s">
        <v>1073</v>
      </c>
      <c r="AD23" s="248">
        <v>21</v>
      </c>
      <c r="AE23" s="15"/>
      <c r="AF23" s="15"/>
      <c r="AG23" s="15"/>
      <c r="AH23" s="15"/>
    </row>
    <row r="24" spans="1:34" ht="12.75">
      <c r="A24" s="247">
        <v>22</v>
      </c>
      <c r="B24" s="193" t="str">
        <f>HLOOKUP($D$1,$D$2:$AC$60,23)</f>
        <v> </v>
      </c>
      <c r="C24" s="194" t="str">
        <f>HLOOKUP($D$1,$D$2:$AC$60,53)</f>
        <v> </v>
      </c>
      <c r="D24" s="259" t="s">
        <v>1073</v>
      </c>
      <c r="E24" s="259" t="s">
        <v>1073</v>
      </c>
      <c r="F24" s="259" t="s">
        <v>1073</v>
      </c>
      <c r="G24" s="259" t="s">
        <v>1073</v>
      </c>
      <c r="H24" s="259" t="s">
        <v>1073</v>
      </c>
      <c r="I24" s="274" t="s">
        <v>33</v>
      </c>
      <c r="J24" s="259" t="s">
        <v>1073</v>
      </c>
      <c r="K24" s="259" t="s">
        <v>1073</v>
      </c>
      <c r="L24" s="259" t="s">
        <v>1073</v>
      </c>
      <c r="M24" s="259" t="s">
        <v>1073</v>
      </c>
      <c r="N24" s="259" t="s">
        <v>1073</v>
      </c>
      <c r="O24" s="259" t="s">
        <v>1073</v>
      </c>
      <c r="P24" s="259" t="s">
        <v>1073</v>
      </c>
      <c r="Q24" s="563" t="s">
        <v>1073</v>
      </c>
      <c r="R24" s="259" t="s">
        <v>1073</v>
      </c>
      <c r="S24" s="259" t="s">
        <v>1073</v>
      </c>
      <c r="T24" s="259" t="s">
        <v>1073</v>
      </c>
      <c r="U24" s="563" t="s">
        <v>1073</v>
      </c>
      <c r="V24" s="95" t="s">
        <v>1073</v>
      </c>
      <c r="W24" s="563" t="s">
        <v>1073</v>
      </c>
      <c r="X24" s="563" t="s">
        <v>1073</v>
      </c>
      <c r="Y24" s="95" t="s">
        <v>1073</v>
      </c>
      <c r="Z24" s="95" t="s">
        <v>1073</v>
      </c>
      <c r="AA24" s="563" t="s">
        <v>1073</v>
      </c>
      <c r="AB24" s="95" t="s">
        <v>1073</v>
      </c>
      <c r="AC24" s="95" t="s">
        <v>1073</v>
      </c>
      <c r="AD24" s="248">
        <v>22</v>
      </c>
      <c r="AE24" s="15"/>
      <c r="AF24" s="15"/>
      <c r="AG24" s="15"/>
      <c r="AH24" s="15"/>
    </row>
    <row r="25" spans="1:34" ht="12.75">
      <c r="A25" s="247">
        <v>23</v>
      </c>
      <c r="B25" s="193" t="str">
        <f>HLOOKUP($D$1,$D$2:$AC$60,24)</f>
        <v> </v>
      </c>
      <c r="C25" s="194" t="str">
        <f>HLOOKUP($D$1,$D$2:$AC$60,54)</f>
        <v> </v>
      </c>
      <c r="D25" s="259" t="s">
        <v>1073</v>
      </c>
      <c r="E25" s="259" t="s">
        <v>1073</v>
      </c>
      <c r="F25" s="259" t="s">
        <v>1073</v>
      </c>
      <c r="G25" s="259" t="s">
        <v>1073</v>
      </c>
      <c r="H25" s="259" t="s">
        <v>1073</v>
      </c>
      <c r="I25" s="95" t="s">
        <v>1073</v>
      </c>
      <c r="J25" s="259" t="s">
        <v>1073</v>
      </c>
      <c r="K25" s="259" t="s">
        <v>1073</v>
      </c>
      <c r="L25" s="259" t="s">
        <v>1073</v>
      </c>
      <c r="M25" s="259" t="s">
        <v>1073</v>
      </c>
      <c r="N25" s="259" t="s">
        <v>1073</v>
      </c>
      <c r="O25" s="259" t="s">
        <v>1073</v>
      </c>
      <c r="P25" s="259" t="s">
        <v>1073</v>
      </c>
      <c r="Q25" s="563" t="s">
        <v>1073</v>
      </c>
      <c r="R25" s="259" t="s">
        <v>1073</v>
      </c>
      <c r="S25" s="259" t="s">
        <v>1073</v>
      </c>
      <c r="T25" s="259" t="s">
        <v>1073</v>
      </c>
      <c r="U25" s="563" t="s">
        <v>1073</v>
      </c>
      <c r="V25" s="95" t="s">
        <v>1073</v>
      </c>
      <c r="W25" s="563" t="s">
        <v>1073</v>
      </c>
      <c r="X25" s="563" t="s">
        <v>1073</v>
      </c>
      <c r="Y25" s="95" t="s">
        <v>1073</v>
      </c>
      <c r="Z25" s="95" t="s">
        <v>1073</v>
      </c>
      <c r="AA25" s="563" t="s">
        <v>1073</v>
      </c>
      <c r="AB25" s="95" t="s">
        <v>1073</v>
      </c>
      <c r="AC25" s="95" t="s">
        <v>1073</v>
      </c>
      <c r="AD25" s="248">
        <v>23</v>
      </c>
      <c r="AE25" s="15"/>
      <c r="AF25" s="15"/>
      <c r="AG25" s="15"/>
      <c r="AH25" s="15"/>
    </row>
    <row r="26" spans="1:34" ht="12.75">
      <c r="A26" s="247">
        <v>24</v>
      </c>
      <c r="B26" s="193" t="str">
        <f>HLOOKUP($D$1,$D$2:$AC$60,25)</f>
        <v> </v>
      </c>
      <c r="C26" s="194" t="str">
        <f>HLOOKUP($D$1,$D$2:$AC$60,55)</f>
        <v> </v>
      </c>
      <c r="D26" s="259" t="s">
        <v>1073</v>
      </c>
      <c r="E26" s="259" t="s">
        <v>1073</v>
      </c>
      <c r="F26" s="259" t="s">
        <v>1073</v>
      </c>
      <c r="G26" s="259" t="s">
        <v>1073</v>
      </c>
      <c r="H26" s="259" t="s">
        <v>1073</v>
      </c>
      <c r="I26" s="95" t="s">
        <v>1073</v>
      </c>
      <c r="J26" s="259" t="s">
        <v>1073</v>
      </c>
      <c r="K26" s="259" t="s">
        <v>1073</v>
      </c>
      <c r="L26" s="259" t="s">
        <v>1073</v>
      </c>
      <c r="M26" s="259" t="s">
        <v>1073</v>
      </c>
      <c r="N26" s="259" t="s">
        <v>1073</v>
      </c>
      <c r="O26" s="259" t="s">
        <v>1073</v>
      </c>
      <c r="P26" s="259" t="s">
        <v>1073</v>
      </c>
      <c r="Q26" s="563" t="s">
        <v>1073</v>
      </c>
      <c r="R26" s="259" t="s">
        <v>1073</v>
      </c>
      <c r="S26" s="259" t="s">
        <v>1073</v>
      </c>
      <c r="T26" s="259" t="s">
        <v>1073</v>
      </c>
      <c r="U26" s="563" t="s">
        <v>1073</v>
      </c>
      <c r="V26" s="95" t="s">
        <v>1073</v>
      </c>
      <c r="W26" s="563" t="s">
        <v>1073</v>
      </c>
      <c r="X26" s="563" t="s">
        <v>1073</v>
      </c>
      <c r="Y26" s="95" t="s">
        <v>1073</v>
      </c>
      <c r="Z26" s="95" t="s">
        <v>1073</v>
      </c>
      <c r="AA26" s="563" t="s">
        <v>1073</v>
      </c>
      <c r="AB26" s="95" t="s">
        <v>1073</v>
      </c>
      <c r="AC26" s="95" t="s">
        <v>1073</v>
      </c>
      <c r="AD26" s="248">
        <v>24</v>
      </c>
      <c r="AE26" s="15"/>
      <c r="AF26" s="15"/>
      <c r="AG26" s="15"/>
      <c r="AH26" s="15"/>
    </row>
    <row r="27" spans="1:34" ht="12.75">
      <c r="A27" s="247">
        <v>25</v>
      </c>
      <c r="B27" s="193" t="str">
        <f>HLOOKUP($D$1,$D$2:$AC$60,26)</f>
        <v> </v>
      </c>
      <c r="C27" s="194" t="str">
        <f>HLOOKUP($D$1,$D$2:$AC$60,56)</f>
        <v> </v>
      </c>
      <c r="D27" s="259" t="s">
        <v>1073</v>
      </c>
      <c r="E27" s="259" t="s">
        <v>1073</v>
      </c>
      <c r="F27" s="259" t="s">
        <v>1073</v>
      </c>
      <c r="G27" s="259" t="s">
        <v>1073</v>
      </c>
      <c r="H27" s="259" t="s">
        <v>1073</v>
      </c>
      <c r="I27" s="95" t="s">
        <v>1073</v>
      </c>
      <c r="J27" s="259" t="s">
        <v>1073</v>
      </c>
      <c r="K27" s="259" t="s">
        <v>1073</v>
      </c>
      <c r="L27" s="259" t="s">
        <v>1073</v>
      </c>
      <c r="M27" s="259" t="s">
        <v>1073</v>
      </c>
      <c r="N27" s="259" t="s">
        <v>1073</v>
      </c>
      <c r="O27" s="259" t="s">
        <v>1073</v>
      </c>
      <c r="P27" s="259" t="s">
        <v>1073</v>
      </c>
      <c r="Q27" s="563" t="s">
        <v>1073</v>
      </c>
      <c r="R27" s="259" t="s">
        <v>1073</v>
      </c>
      <c r="S27" s="259" t="s">
        <v>1073</v>
      </c>
      <c r="T27" s="259" t="s">
        <v>1073</v>
      </c>
      <c r="U27" s="563" t="s">
        <v>1073</v>
      </c>
      <c r="V27" s="95" t="s">
        <v>1073</v>
      </c>
      <c r="W27" s="563" t="s">
        <v>1073</v>
      </c>
      <c r="X27" s="563" t="s">
        <v>1073</v>
      </c>
      <c r="Y27" s="95" t="s">
        <v>1073</v>
      </c>
      <c r="Z27" s="95" t="s">
        <v>1073</v>
      </c>
      <c r="AA27" s="563" t="s">
        <v>1073</v>
      </c>
      <c r="AB27" s="95" t="s">
        <v>1073</v>
      </c>
      <c r="AC27" s="95" t="s">
        <v>1073</v>
      </c>
      <c r="AD27" s="248">
        <v>25</v>
      </c>
      <c r="AE27" s="15"/>
      <c r="AF27" s="15"/>
      <c r="AG27" s="15"/>
      <c r="AH27" s="15"/>
    </row>
    <row r="28" spans="1:34" ht="12.75">
      <c r="A28" s="247">
        <v>26</v>
      </c>
      <c r="B28" s="193" t="str">
        <f>HLOOKUP($D$1,$D$2:$AC$60,27)</f>
        <v> </v>
      </c>
      <c r="C28" s="194" t="str">
        <f>HLOOKUP($D$1,$D$2:$AC$60,57)</f>
        <v> </v>
      </c>
      <c r="D28" s="259" t="s">
        <v>1073</v>
      </c>
      <c r="E28" s="259" t="s">
        <v>1073</v>
      </c>
      <c r="F28" s="259" t="s">
        <v>1073</v>
      </c>
      <c r="G28" s="259" t="s">
        <v>1073</v>
      </c>
      <c r="H28" s="259" t="s">
        <v>1073</v>
      </c>
      <c r="I28" s="95" t="s">
        <v>1073</v>
      </c>
      <c r="J28" s="259" t="s">
        <v>1073</v>
      </c>
      <c r="K28" s="259" t="s">
        <v>1073</v>
      </c>
      <c r="L28" s="259" t="s">
        <v>1073</v>
      </c>
      <c r="M28" s="259" t="s">
        <v>1073</v>
      </c>
      <c r="N28" s="259" t="s">
        <v>1073</v>
      </c>
      <c r="O28" s="259" t="s">
        <v>1073</v>
      </c>
      <c r="P28" s="259" t="s">
        <v>1073</v>
      </c>
      <c r="Q28" s="563" t="s">
        <v>1073</v>
      </c>
      <c r="R28" s="259" t="s">
        <v>1073</v>
      </c>
      <c r="S28" s="259" t="s">
        <v>1073</v>
      </c>
      <c r="T28" s="259" t="s">
        <v>1073</v>
      </c>
      <c r="U28" s="563" t="s">
        <v>1073</v>
      </c>
      <c r="V28" s="95" t="s">
        <v>1073</v>
      </c>
      <c r="W28" s="563" t="s">
        <v>1073</v>
      </c>
      <c r="X28" s="563" t="s">
        <v>1073</v>
      </c>
      <c r="Y28" s="95" t="s">
        <v>1073</v>
      </c>
      <c r="Z28" s="95" t="s">
        <v>1073</v>
      </c>
      <c r="AA28" s="563" t="s">
        <v>1073</v>
      </c>
      <c r="AB28" s="95" t="s">
        <v>1073</v>
      </c>
      <c r="AC28" s="95" t="s">
        <v>1073</v>
      </c>
      <c r="AD28" s="248">
        <v>26</v>
      </c>
      <c r="AE28" s="15"/>
      <c r="AF28" s="15"/>
      <c r="AG28" s="15"/>
      <c r="AH28" s="15"/>
    </row>
    <row r="29" spans="1:34" ht="12.75">
      <c r="A29" s="247">
        <v>27</v>
      </c>
      <c r="B29" s="193" t="str">
        <f>HLOOKUP($D$1,$D$2:$AC$60,28)</f>
        <v> </v>
      </c>
      <c r="C29" s="194" t="str">
        <f>HLOOKUP($D$1,$D$2:$AC$60,58)</f>
        <v> </v>
      </c>
      <c r="D29" s="259" t="s">
        <v>1073</v>
      </c>
      <c r="E29" s="259" t="s">
        <v>1073</v>
      </c>
      <c r="F29" s="259" t="s">
        <v>1073</v>
      </c>
      <c r="G29" s="259" t="s">
        <v>1073</v>
      </c>
      <c r="H29" s="259" t="s">
        <v>1073</v>
      </c>
      <c r="I29" s="95" t="s">
        <v>1073</v>
      </c>
      <c r="J29" s="259" t="s">
        <v>1073</v>
      </c>
      <c r="K29" s="259" t="s">
        <v>1073</v>
      </c>
      <c r="L29" s="259" t="s">
        <v>1073</v>
      </c>
      <c r="M29" s="259" t="s">
        <v>1073</v>
      </c>
      <c r="N29" s="259" t="s">
        <v>1073</v>
      </c>
      <c r="O29" s="259" t="s">
        <v>1073</v>
      </c>
      <c r="P29" s="259" t="s">
        <v>1073</v>
      </c>
      <c r="Q29" s="563" t="s">
        <v>1073</v>
      </c>
      <c r="R29" s="259" t="s">
        <v>1073</v>
      </c>
      <c r="S29" s="259" t="s">
        <v>1073</v>
      </c>
      <c r="T29" s="259" t="s">
        <v>1073</v>
      </c>
      <c r="U29" s="563" t="s">
        <v>1073</v>
      </c>
      <c r="V29" s="95" t="s">
        <v>1073</v>
      </c>
      <c r="W29" s="563" t="s">
        <v>1073</v>
      </c>
      <c r="X29" s="563" t="s">
        <v>1073</v>
      </c>
      <c r="Y29" s="95" t="s">
        <v>1073</v>
      </c>
      <c r="Z29" s="95" t="s">
        <v>1073</v>
      </c>
      <c r="AA29" s="563" t="s">
        <v>1073</v>
      </c>
      <c r="AB29" s="95" t="s">
        <v>1073</v>
      </c>
      <c r="AC29" s="95" t="s">
        <v>1073</v>
      </c>
      <c r="AD29" s="248">
        <v>27</v>
      </c>
      <c r="AE29" s="15"/>
      <c r="AF29" s="15"/>
      <c r="AG29" s="15"/>
      <c r="AH29" s="15"/>
    </row>
    <row r="30" spans="1:34" ht="12.75">
      <c r="A30" s="247">
        <v>28</v>
      </c>
      <c r="B30" s="193" t="str">
        <f>HLOOKUP($D$1,$D$2:$AC$60,29)</f>
        <v> </v>
      </c>
      <c r="C30" s="194" t="str">
        <f>HLOOKUP($D$1,$D$2:$AC$60,59)</f>
        <v> </v>
      </c>
      <c r="D30" s="259" t="s">
        <v>1073</v>
      </c>
      <c r="E30" s="259" t="s">
        <v>1073</v>
      </c>
      <c r="F30" s="259" t="s">
        <v>1073</v>
      </c>
      <c r="G30" s="259" t="s">
        <v>1073</v>
      </c>
      <c r="H30" s="259" t="s">
        <v>1073</v>
      </c>
      <c r="I30" s="95" t="s">
        <v>1073</v>
      </c>
      <c r="J30" s="259" t="s">
        <v>1073</v>
      </c>
      <c r="K30" s="259" t="s">
        <v>1073</v>
      </c>
      <c r="L30" s="259" t="s">
        <v>1073</v>
      </c>
      <c r="M30" s="259" t="s">
        <v>1073</v>
      </c>
      <c r="N30" s="259" t="s">
        <v>1073</v>
      </c>
      <c r="O30" s="259" t="s">
        <v>1073</v>
      </c>
      <c r="P30" s="259" t="s">
        <v>1073</v>
      </c>
      <c r="Q30" s="563" t="s">
        <v>1073</v>
      </c>
      <c r="R30" s="259" t="s">
        <v>1073</v>
      </c>
      <c r="S30" s="259" t="s">
        <v>1073</v>
      </c>
      <c r="T30" s="259" t="s">
        <v>1073</v>
      </c>
      <c r="U30" s="563" t="s">
        <v>1073</v>
      </c>
      <c r="V30" s="95" t="s">
        <v>1073</v>
      </c>
      <c r="W30" s="563" t="s">
        <v>1073</v>
      </c>
      <c r="X30" s="563" t="s">
        <v>1073</v>
      </c>
      <c r="Y30" s="95" t="s">
        <v>1073</v>
      </c>
      <c r="Z30" s="95" t="s">
        <v>1073</v>
      </c>
      <c r="AA30" s="563" t="s">
        <v>1073</v>
      </c>
      <c r="AB30" s="95" t="s">
        <v>1073</v>
      </c>
      <c r="AC30" s="95" t="s">
        <v>1073</v>
      </c>
      <c r="AD30" s="248">
        <v>28</v>
      </c>
      <c r="AE30" s="15"/>
      <c r="AF30" s="15"/>
      <c r="AG30" s="15"/>
      <c r="AH30" s="15"/>
    </row>
    <row r="31" spans="1:34" ht="12.75">
      <c r="A31" s="247">
        <v>29</v>
      </c>
      <c r="B31" s="193" t="str">
        <f>HLOOKUP($D$1,$D$2:$AC$60,30)</f>
        <v> </v>
      </c>
      <c r="C31" s="194" t="str">
        <f>HLOOKUP($D$1,$D$2:$AC$62,60)</f>
        <v> </v>
      </c>
      <c r="D31" s="259" t="s">
        <v>1073</v>
      </c>
      <c r="E31" s="259" t="s">
        <v>1073</v>
      </c>
      <c r="F31" s="259" t="s">
        <v>1073</v>
      </c>
      <c r="G31" s="259" t="s">
        <v>1073</v>
      </c>
      <c r="H31" s="259" t="s">
        <v>1073</v>
      </c>
      <c r="I31" s="95" t="s">
        <v>1073</v>
      </c>
      <c r="J31" s="259" t="s">
        <v>1073</v>
      </c>
      <c r="K31" s="259" t="s">
        <v>1073</v>
      </c>
      <c r="L31" s="259" t="s">
        <v>1073</v>
      </c>
      <c r="M31" s="259" t="s">
        <v>1073</v>
      </c>
      <c r="N31" s="259" t="s">
        <v>1073</v>
      </c>
      <c r="O31" s="259" t="s">
        <v>1073</v>
      </c>
      <c r="P31" s="259" t="s">
        <v>1073</v>
      </c>
      <c r="Q31" s="563" t="s">
        <v>1073</v>
      </c>
      <c r="R31" s="259" t="s">
        <v>1073</v>
      </c>
      <c r="S31" s="259" t="s">
        <v>1073</v>
      </c>
      <c r="T31" s="259" t="s">
        <v>1073</v>
      </c>
      <c r="U31" s="563" t="s">
        <v>1073</v>
      </c>
      <c r="V31" s="95" t="s">
        <v>1073</v>
      </c>
      <c r="W31" s="563" t="s">
        <v>1073</v>
      </c>
      <c r="X31" s="563" t="s">
        <v>1073</v>
      </c>
      <c r="Y31" s="95" t="s">
        <v>1073</v>
      </c>
      <c r="Z31" s="95" t="s">
        <v>1073</v>
      </c>
      <c r="AA31" s="563" t="s">
        <v>1073</v>
      </c>
      <c r="AB31" s="95" t="s">
        <v>1073</v>
      </c>
      <c r="AC31" s="95" t="s">
        <v>1073</v>
      </c>
      <c r="AD31" s="248">
        <v>29</v>
      </c>
      <c r="AE31" s="15"/>
      <c r="AF31" s="15"/>
      <c r="AG31" s="15"/>
      <c r="AH31" s="15"/>
    </row>
    <row r="32" spans="1:34" ht="12.75">
      <c r="A32" s="247">
        <v>30</v>
      </c>
      <c r="B32" s="195" t="str">
        <f>HLOOKUP($D$1,$D$2:$AC$60,31)</f>
        <v> </v>
      </c>
      <c r="C32" s="196" t="str">
        <f>HLOOKUP($D$1,$D$2:$AC$62,61)</f>
        <v> </v>
      </c>
      <c r="D32" s="249" t="s">
        <v>1073</v>
      </c>
      <c r="E32" s="249" t="s">
        <v>1073</v>
      </c>
      <c r="F32" s="249" t="s">
        <v>1073</v>
      </c>
      <c r="G32" s="249" t="s">
        <v>1073</v>
      </c>
      <c r="H32" s="249" t="s">
        <v>1073</v>
      </c>
      <c r="I32" s="100" t="s">
        <v>1073</v>
      </c>
      <c r="J32" s="249" t="s">
        <v>1073</v>
      </c>
      <c r="K32" s="249" t="s">
        <v>1073</v>
      </c>
      <c r="L32" s="249" t="s">
        <v>1073</v>
      </c>
      <c r="M32" s="249" t="s">
        <v>1073</v>
      </c>
      <c r="N32" s="249" t="s">
        <v>1073</v>
      </c>
      <c r="O32" s="249" t="s">
        <v>1073</v>
      </c>
      <c r="P32" s="249" t="s">
        <v>1073</v>
      </c>
      <c r="Q32" s="100" t="s">
        <v>1073</v>
      </c>
      <c r="R32" s="249" t="s">
        <v>1073</v>
      </c>
      <c r="S32" s="249" t="s">
        <v>1073</v>
      </c>
      <c r="T32" s="249" t="s">
        <v>1073</v>
      </c>
      <c r="U32" s="100" t="s">
        <v>1073</v>
      </c>
      <c r="V32" s="100" t="s">
        <v>1073</v>
      </c>
      <c r="W32" s="100" t="s">
        <v>1073</v>
      </c>
      <c r="X32" s="100" t="s">
        <v>1073</v>
      </c>
      <c r="Y32" s="100" t="s">
        <v>1073</v>
      </c>
      <c r="Z32" s="100" t="s">
        <v>1073</v>
      </c>
      <c r="AA32" s="100" t="s">
        <v>1073</v>
      </c>
      <c r="AB32" s="100" t="s">
        <v>1073</v>
      </c>
      <c r="AC32" s="100" t="s">
        <v>1073</v>
      </c>
      <c r="AD32" s="248">
        <v>30</v>
      </c>
      <c r="AE32" s="15"/>
      <c r="AF32" s="15"/>
      <c r="AG32" s="15"/>
      <c r="AH32" s="15"/>
    </row>
    <row r="33" spans="1:34" ht="12.75">
      <c r="A33" s="247">
        <v>31</v>
      </c>
      <c r="B33" s="30"/>
      <c r="C33" s="32"/>
      <c r="D33" s="70" t="s">
        <v>113</v>
      </c>
      <c r="E33" s="70" t="s">
        <v>113</v>
      </c>
      <c r="F33" s="70" t="s">
        <v>113</v>
      </c>
      <c r="G33" s="70" t="s">
        <v>113</v>
      </c>
      <c r="H33" s="70" t="s">
        <v>113</v>
      </c>
      <c r="I33" s="273" t="s">
        <v>113</v>
      </c>
      <c r="J33" s="70" t="s">
        <v>113</v>
      </c>
      <c r="K33" s="70" t="s">
        <v>113</v>
      </c>
      <c r="L33" s="70" t="s">
        <v>113</v>
      </c>
      <c r="M33" s="70" t="s">
        <v>113</v>
      </c>
      <c r="N33" s="70" t="s">
        <v>113</v>
      </c>
      <c r="O33" s="70" t="s">
        <v>113</v>
      </c>
      <c r="P33" s="70" t="s">
        <v>113</v>
      </c>
      <c r="Q33" s="70" t="s">
        <v>113</v>
      </c>
      <c r="R33" s="70" t="s">
        <v>113</v>
      </c>
      <c r="S33" s="70" t="s">
        <v>113</v>
      </c>
      <c r="T33" s="70" t="s">
        <v>113</v>
      </c>
      <c r="U33" s="70" t="s">
        <v>113</v>
      </c>
      <c r="V33" s="70" t="s">
        <v>113</v>
      </c>
      <c r="W33" s="70" t="s">
        <v>113</v>
      </c>
      <c r="X33" s="70" t="s">
        <v>113</v>
      </c>
      <c r="Y33" s="70" t="s">
        <v>113</v>
      </c>
      <c r="Z33" s="70" t="s">
        <v>113</v>
      </c>
      <c r="AA33" s="70" t="s">
        <v>113</v>
      </c>
      <c r="AB33" s="70" t="s">
        <v>113</v>
      </c>
      <c r="AC33" s="70" t="s">
        <v>113</v>
      </c>
      <c r="AD33" s="248">
        <v>1</v>
      </c>
      <c r="AE33" s="15"/>
      <c r="AF33" s="15"/>
      <c r="AG33" s="15"/>
      <c r="AH33" s="15"/>
    </row>
    <row r="34" spans="1:34" ht="12.75">
      <c r="A34" s="247">
        <v>32</v>
      </c>
      <c r="B34" s="30"/>
      <c r="C34" s="32"/>
      <c r="D34" s="61" t="s">
        <v>813</v>
      </c>
      <c r="E34" s="61" t="s">
        <v>824</v>
      </c>
      <c r="F34" s="61" t="s">
        <v>1044</v>
      </c>
      <c r="G34" s="61" t="s">
        <v>579</v>
      </c>
      <c r="H34" s="61" t="s">
        <v>134</v>
      </c>
      <c r="I34" s="61" t="s">
        <v>579</v>
      </c>
      <c r="J34" s="61" t="s">
        <v>914</v>
      </c>
      <c r="K34" s="61" t="s">
        <v>256</v>
      </c>
      <c r="L34" s="61" t="s">
        <v>955</v>
      </c>
      <c r="M34" s="61" t="s">
        <v>700</v>
      </c>
      <c r="N34" s="274" t="s">
        <v>612</v>
      </c>
      <c r="O34" s="274" t="s">
        <v>658</v>
      </c>
      <c r="P34" s="274" t="s">
        <v>673</v>
      </c>
      <c r="Q34" s="274" t="s">
        <v>1509</v>
      </c>
      <c r="R34" s="274" t="s">
        <v>1263</v>
      </c>
      <c r="S34" s="274" t="s">
        <v>1286</v>
      </c>
      <c r="T34" s="274" t="s">
        <v>1310</v>
      </c>
      <c r="U34" s="274" t="s">
        <v>1530</v>
      </c>
      <c r="V34" s="274" t="s">
        <v>1488</v>
      </c>
      <c r="W34" s="274" t="s">
        <v>1488</v>
      </c>
      <c r="X34" s="274" t="s">
        <v>1542</v>
      </c>
      <c r="Y34" s="274" t="s">
        <v>1554</v>
      </c>
      <c r="Z34" s="274" t="s">
        <v>1572</v>
      </c>
      <c r="AA34" s="274" t="s">
        <v>1594</v>
      </c>
      <c r="AB34" s="274" t="s">
        <v>1621</v>
      </c>
      <c r="AC34" s="274" t="s">
        <v>1622</v>
      </c>
      <c r="AD34" s="248">
        <v>2</v>
      </c>
      <c r="AE34" s="15"/>
      <c r="AF34" s="15"/>
      <c r="AG34" s="15"/>
      <c r="AH34" s="15"/>
    </row>
    <row r="35" spans="1:34" ht="12.75">
      <c r="A35" s="247">
        <v>33</v>
      </c>
      <c r="B35" s="30"/>
      <c r="C35" s="32"/>
      <c r="D35" s="61" t="s">
        <v>813</v>
      </c>
      <c r="E35" s="61" t="s">
        <v>824</v>
      </c>
      <c r="F35" s="61" t="s">
        <v>1044</v>
      </c>
      <c r="G35" s="61" t="s">
        <v>579</v>
      </c>
      <c r="H35" s="61" t="s">
        <v>579</v>
      </c>
      <c r="I35" s="274" t="s">
        <v>144</v>
      </c>
      <c r="J35" s="61" t="s">
        <v>579</v>
      </c>
      <c r="K35" s="61" t="s">
        <v>256</v>
      </c>
      <c r="L35" s="61" t="s">
        <v>955</v>
      </c>
      <c r="M35" s="61" t="s">
        <v>700</v>
      </c>
      <c r="N35" s="274" t="s">
        <v>612</v>
      </c>
      <c r="O35" s="274" t="s">
        <v>658</v>
      </c>
      <c r="P35" s="274" t="s">
        <v>673</v>
      </c>
      <c r="Q35" s="274" t="s">
        <v>1509</v>
      </c>
      <c r="R35" s="274" t="s">
        <v>1263</v>
      </c>
      <c r="S35" s="274" t="s">
        <v>1286</v>
      </c>
      <c r="T35" s="274" t="s">
        <v>1310</v>
      </c>
      <c r="U35" s="274" t="s">
        <v>1530</v>
      </c>
      <c r="V35" s="274" t="s">
        <v>1488</v>
      </c>
      <c r="W35" s="274" t="s">
        <v>1488</v>
      </c>
      <c r="X35" s="274" t="s">
        <v>1542</v>
      </c>
      <c r="Y35" s="274" t="s">
        <v>1554</v>
      </c>
      <c r="Z35" s="274" t="s">
        <v>1572</v>
      </c>
      <c r="AA35" s="274" t="s">
        <v>1594</v>
      </c>
      <c r="AB35" s="274" t="s">
        <v>1621</v>
      </c>
      <c r="AC35" s="274" t="s">
        <v>1622</v>
      </c>
      <c r="AD35" s="248">
        <v>3</v>
      </c>
      <c r="AE35" s="15"/>
      <c r="AF35" s="15"/>
      <c r="AG35" s="15"/>
      <c r="AH35" s="15"/>
    </row>
    <row r="36" spans="1:34" ht="12.75">
      <c r="A36" s="247">
        <v>34</v>
      </c>
      <c r="B36" s="30"/>
      <c r="C36" s="32"/>
      <c r="D36" s="61" t="s">
        <v>813</v>
      </c>
      <c r="E36" s="61" t="s">
        <v>824</v>
      </c>
      <c r="F36" s="61" t="s">
        <v>1044</v>
      </c>
      <c r="G36" s="61" t="s">
        <v>579</v>
      </c>
      <c r="H36" s="61" t="s">
        <v>135</v>
      </c>
      <c r="I36" s="61" t="s">
        <v>579</v>
      </c>
      <c r="J36" s="61" t="s">
        <v>915</v>
      </c>
      <c r="K36" s="61" t="s">
        <v>256</v>
      </c>
      <c r="L36" s="61" t="s">
        <v>955</v>
      </c>
      <c r="M36" s="61" t="s">
        <v>701</v>
      </c>
      <c r="N36" s="274" t="s">
        <v>612</v>
      </c>
      <c r="O36" s="274" t="s">
        <v>658</v>
      </c>
      <c r="P36" s="274" t="s">
        <v>673</v>
      </c>
      <c r="Q36" s="274" t="s">
        <v>1509</v>
      </c>
      <c r="R36" s="274" t="s">
        <v>1263</v>
      </c>
      <c r="S36" s="274" t="s">
        <v>1286</v>
      </c>
      <c r="T36" s="274" t="s">
        <v>1310</v>
      </c>
      <c r="U36" s="274" t="s">
        <v>1530</v>
      </c>
      <c r="V36" s="274" t="s">
        <v>1489</v>
      </c>
      <c r="W36" s="274" t="s">
        <v>1488</v>
      </c>
      <c r="X36" s="274" t="s">
        <v>1543</v>
      </c>
      <c r="Y36" s="274" t="s">
        <v>1555</v>
      </c>
      <c r="Z36" s="274" t="s">
        <v>1572</v>
      </c>
      <c r="AA36" s="274" t="s">
        <v>1594</v>
      </c>
      <c r="AB36" s="274" t="s">
        <v>1621</v>
      </c>
      <c r="AC36" s="274" t="s">
        <v>1622</v>
      </c>
      <c r="AD36" s="248">
        <v>4</v>
      </c>
      <c r="AE36" s="15"/>
      <c r="AF36" s="15"/>
      <c r="AG36" s="15"/>
      <c r="AH36" s="15"/>
    </row>
    <row r="37" spans="1:34" ht="12.75">
      <c r="A37" s="247">
        <v>35</v>
      </c>
      <c r="B37" s="30"/>
      <c r="C37" s="32"/>
      <c r="D37" s="61" t="s">
        <v>813</v>
      </c>
      <c r="E37" s="61" t="s">
        <v>826</v>
      </c>
      <c r="F37" s="61" t="s">
        <v>1045</v>
      </c>
      <c r="G37" s="61" t="s">
        <v>579</v>
      </c>
      <c r="H37" s="61" t="s">
        <v>683</v>
      </c>
      <c r="I37" s="61" t="s">
        <v>683</v>
      </c>
      <c r="J37" s="61" t="s">
        <v>683</v>
      </c>
      <c r="K37" s="61" t="s">
        <v>256</v>
      </c>
      <c r="L37" s="61" t="s">
        <v>955</v>
      </c>
      <c r="M37" s="61" t="s">
        <v>701</v>
      </c>
      <c r="N37" s="274" t="s">
        <v>612</v>
      </c>
      <c r="O37" s="274" t="s">
        <v>658</v>
      </c>
      <c r="P37" s="274" t="s">
        <v>673</v>
      </c>
      <c r="Q37" s="274" t="s">
        <v>1509</v>
      </c>
      <c r="R37" s="274" t="s">
        <v>1263</v>
      </c>
      <c r="S37" s="274" t="s">
        <v>1286</v>
      </c>
      <c r="T37" s="274" t="s">
        <v>1310</v>
      </c>
      <c r="U37" s="274" t="s">
        <v>1530</v>
      </c>
      <c r="V37" s="274" t="s">
        <v>1489</v>
      </c>
      <c r="W37" s="274" t="s">
        <v>1489</v>
      </c>
      <c r="X37" s="274" t="s">
        <v>1543</v>
      </c>
      <c r="Y37" s="274" t="s">
        <v>1555</v>
      </c>
      <c r="Z37" s="274" t="s">
        <v>1572</v>
      </c>
      <c r="AA37" s="274" t="s">
        <v>1594</v>
      </c>
      <c r="AB37" s="274" t="s">
        <v>1621</v>
      </c>
      <c r="AC37" s="274" t="s">
        <v>1623</v>
      </c>
      <c r="AD37" s="248">
        <v>5</v>
      </c>
      <c r="AE37" s="15"/>
      <c r="AF37" s="15"/>
      <c r="AG37" s="15"/>
      <c r="AH37" s="15"/>
    </row>
    <row r="38" spans="1:34" ht="12.75">
      <c r="A38" s="247">
        <v>36</v>
      </c>
      <c r="B38" s="30"/>
      <c r="C38" s="32"/>
      <c r="D38" s="61" t="s">
        <v>814</v>
      </c>
      <c r="E38" s="61" t="s">
        <v>826</v>
      </c>
      <c r="F38" s="61" t="s">
        <v>1045</v>
      </c>
      <c r="G38" s="61" t="s">
        <v>579</v>
      </c>
      <c r="H38" s="61" t="s">
        <v>136</v>
      </c>
      <c r="I38" s="274" t="s">
        <v>145</v>
      </c>
      <c r="J38" s="61" t="s">
        <v>916</v>
      </c>
      <c r="K38" s="61" t="s">
        <v>257</v>
      </c>
      <c r="L38" s="61" t="s">
        <v>956</v>
      </c>
      <c r="M38" s="61" t="s">
        <v>702</v>
      </c>
      <c r="N38" s="274" t="s">
        <v>613</v>
      </c>
      <c r="O38" s="274" t="s">
        <v>658</v>
      </c>
      <c r="P38" s="274" t="s">
        <v>673</v>
      </c>
      <c r="Q38" s="274" t="s">
        <v>1509</v>
      </c>
      <c r="R38" s="274" t="s">
        <v>1263</v>
      </c>
      <c r="S38" s="274" t="s">
        <v>1286</v>
      </c>
      <c r="T38" s="274" t="s">
        <v>1310</v>
      </c>
      <c r="U38" s="274" t="s">
        <v>1530</v>
      </c>
      <c r="V38" s="274" t="s">
        <v>1490</v>
      </c>
      <c r="W38" s="274" t="s">
        <v>1489</v>
      </c>
      <c r="X38" s="274" t="s">
        <v>1544</v>
      </c>
      <c r="Y38" s="274" t="s">
        <v>1556</v>
      </c>
      <c r="Z38" s="274" t="s">
        <v>1573</v>
      </c>
      <c r="AA38" s="274" t="s">
        <v>1594</v>
      </c>
      <c r="AB38" s="274" t="s">
        <v>1621</v>
      </c>
      <c r="AC38" s="274" t="s">
        <v>1623</v>
      </c>
      <c r="AD38" s="248">
        <v>6</v>
      </c>
      <c r="AE38" s="15"/>
      <c r="AF38" s="15"/>
      <c r="AG38" s="15"/>
      <c r="AH38" s="15"/>
    </row>
    <row r="39" spans="1:34" ht="12.75">
      <c r="A39" s="247">
        <v>37</v>
      </c>
      <c r="B39" s="30"/>
      <c r="C39" s="32"/>
      <c r="D39" s="61" t="s">
        <v>814</v>
      </c>
      <c r="E39" s="61" t="s">
        <v>826</v>
      </c>
      <c r="F39" s="61" t="s">
        <v>1045</v>
      </c>
      <c r="G39" s="61" t="s">
        <v>683</v>
      </c>
      <c r="H39" s="61" t="s">
        <v>684</v>
      </c>
      <c r="I39" s="61" t="s">
        <v>683</v>
      </c>
      <c r="J39" s="61" t="s">
        <v>684</v>
      </c>
      <c r="K39" s="61" t="s">
        <v>257</v>
      </c>
      <c r="L39" s="61" t="s">
        <v>956</v>
      </c>
      <c r="M39" s="61" t="s">
        <v>702</v>
      </c>
      <c r="N39" s="274" t="s">
        <v>613</v>
      </c>
      <c r="O39" s="274" t="s">
        <v>658</v>
      </c>
      <c r="P39" s="274" t="s">
        <v>674</v>
      </c>
      <c r="Q39" s="274" t="s">
        <v>1510</v>
      </c>
      <c r="R39" s="274" t="s">
        <v>1263</v>
      </c>
      <c r="S39" s="274" t="s">
        <v>1286</v>
      </c>
      <c r="T39" s="274" t="s">
        <v>1310</v>
      </c>
      <c r="U39" s="274" t="s">
        <v>1530</v>
      </c>
      <c r="V39" s="274" t="s">
        <v>1490</v>
      </c>
      <c r="W39" s="274" t="s">
        <v>1489</v>
      </c>
      <c r="X39" s="274" t="s">
        <v>1544</v>
      </c>
      <c r="Y39" s="274" t="s">
        <v>1556</v>
      </c>
      <c r="Z39" s="274" t="s">
        <v>1573</v>
      </c>
      <c r="AA39" s="274" t="s">
        <v>1594</v>
      </c>
      <c r="AB39" s="274" t="s">
        <v>1624</v>
      </c>
      <c r="AC39" s="274" t="s">
        <v>1623</v>
      </c>
      <c r="AD39" s="248">
        <v>7</v>
      </c>
      <c r="AE39" s="15"/>
      <c r="AF39" s="15"/>
      <c r="AG39" s="15"/>
      <c r="AH39" s="15"/>
    </row>
    <row r="40" spans="1:34" ht="12.75">
      <c r="A40" s="247">
        <v>38</v>
      </c>
      <c r="B40" s="30"/>
      <c r="C40" s="32"/>
      <c r="D40" s="61" t="s">
        <v>814</v>
      </c>
      <c r="E40" s="61" t="s">
        <v>825</v>
      </c>
      <c r="F40" s="61" t="s">
        <v>1046</v>
      </c>
      <c r="G40" s="61" t="s">
        <v>683</v>
      </c>
      <c r="H40" s="61" t="s">
        <v>134</v>
      </c>
      <c r="I40" s="61" t="s">
        <v>684</v>
      </c>
      <c r="J40" s="61" t="s">
        <v>914</v>
      </c>
      <c r="K40" s="61" t="s">
        <v>257</v>
      </c>
      <c r="L40" s="61" t="s">
        <v>956</v>
      </c>
      <c r="M40" s="62" t="s">
        <v>1073</v>
      </c>
      <c r="N40" s="274" t="s">
        <v>613</v>
      </c>
      <c r="O40" s="274" t="s">
        <v>659</v>
      </c>
      <c r="P40" s="274" t="s">
        <v>674</v>
      </c>
      <c r="Q40" s="274" t="s">
        <v>1510</v>
      </c>
      <c r="R40" s="274" t="s">
        <v>1264</v>
      </c>
      <c r="S40" s="274" t="s">
        <v>1287</v>
      </c>
      <c r="T40" s="274" t="s">
        <v>1311</v>
      </c>
      <c r="U40" s="274" t="s">
        <v>1531</v>
      </c>
      <c r="V40" s="62" t="s">
        <v>1073</v>
      </c>
      <c r="W40" s="274" t="s">
        <v>1490</v>
      </c>
      <c r="X40" s="62" t="s">
        <v>1073</v>
      </c>
      <c r="Y40" s="62" t="s">
        <v>1073</v>
      </c>
      <c r="Z40" s="274" t="s">
        <v>1573</v>
      </c>
      <c r="AA40" s="274" t="s">
        <v>1595</v>
      </c>
      <c r="AB40" s="274" t="s">
        <v>1624</v>
      </c>
      <c r="AC40" s="274" t="s">
        <v>1625</v>
      </c>
      <c r="AD40" s="248">
        <v>8</v>
      </c>
      <c r="AE40" s="15"/>
      <c r="AF40" s="15"/>
      <c r="AG40" s="15"/>
      <c r="AH40" s="15"/>
    </row>
    <row r="41" spans="1:34" ht="12.75">
      <c r="A41" s="247">
        <v>39</v>
      </c>
      <c r="B41" s="30"/>
      <c r="C41" s="32"/>
      <c r="D41" s="61" t="s">
        <v>814</v>
      </c>
      <c r="E41" s="61" t="s">
        <v>825</v>
      </c>
      <c r="F41" s="61" t="s">
        <v>1046</v>
      </c>
      <c r="G41" s="61" t="s">
        <v>683</v>
      </c>
      <c r="H41" s="61" t="s">
        <v>134</v>
      </c>
      <c r="I41" s="274" t="s">
        <v>146</v>
      </c>
      <c r="J41" s="61" t="s">
        <v>914</v>
      </c>
      <c r="K41" s="61" t="s">
        <v>257</v>
      </c>
      <c r="L41" s="61" t="s">
        <v>956</v>
      </c>
      <c r="M41" s="62" t="s">
        <v>1073</v>
      </c>
      <c r="N41" s="274" t="s">
        <v>613</v>
      </c>
      <c r="O41" s="274" t="s">
        <v>659</v>
      </c>
      <c r="P41" s="274" t="s">
        <v>674</v>
      </c>
      <c r="Q41" s="274" t="s">
        <v>1510</v>
      </c>
      <c r="R41" s="274" t="s">
        <v>1264</v>
      </c>
      <c r="S41" s="274" t="s">
        <v>1287</v>
      </c>
      <c r="T41" s="274" t="s">
        <v>1311</v>
      </c>
      <c r="U41" s="274" t="s">
        <v>1531</v>
      </c>
      <c r="V41" s="62" t="s">
        <v>1073</v>
      </c>
      <c r="W41" s="274" t="s">
        <v>1490</v>
      </c>
      <c r="X41" s="62" t="s">
        <v>1073</v>
      </c>
      <c r="Y41" s="62" t="s">
        <v>1073</v>
      </c>
      <c r="Z41" s="274" t="s">
        <v>1573</v>
      </c>
      <c r="AA41" s="274" t="s">
        <v>1595</v>
      </c>
      <c r="AB41" s="274" t="s">
        <v>1624</v>
      </c>
      <c r="AC41" s="274" t="s">
        <v>1625</v>
      </c>
      <c r="AD41" s="248">
        <v>9</v>
      </c>
      <c r="AE41" s="15"/>
      <c r="AF41" s="15"/>
      <c r="AG41" s="15"/>
      <c r="AH41" s="15"/>
    </row>
    <row r="42" spans="1:34" ht="12.75">
      <c r="A42" s="247">
        <v>40</v>
      </c>
      <c r="B42" s="30"/>
      <c r="C42" s="32"/>
      <c r="D42" s="61" t="s">
        <v>816</v>
      </c>
      <c r="E42" s="61" t="s">
        <v>825</v>
      </c>
      <c r="F42" s="61" t="s">
        <v>1046</v>
      </c>
      <c r="G42" s="61" t="s">
        <v>683</v>
      </c>
      <c r="H42" s="61" t="s">
        <v>579</v>
      </c>
      <c r="I42" s="61" t="s">
        <v>684</v>
      </c>
      <c r="J42" s="61" t="s">
        <v>579</v>
      </c>
      <c r="K42" s="61" t="s">
        <v>258</v>
      </c>
      <c r="L42" s="61" t="s">
        <v>957</v>
      </c>
      <c r="M42" s="62" t="s">
        <v>1073</v>
      </c>
      <c r="N42" s="274" t="s">
        <v>614</v>
      </c>
      <c r="O42" s="274" t="s">
        <v>659</v>
      </c>
      <c r="P42" s="274" t="s">
        <v>674</v>
      </c>
      <c r="Q42" s="274" t="s">
        <v>1510</v>
      </c>
      <c r="R42" s="274" t="s">
        <v>1264</v>
      </c>
      <c r="S42" s="274" t="s">
        <v>1287</v>
      </c>
      <c r="T42" s="274" t="s">
        <v>1311</v>
      </c>
      <c r="U42" s="274" t="s">
        <v>1531</v>
      </c>
      <c r="V42" s="62" t="s">
        <v>1073</v>
      </c>
      <c r="W42" s="274" t="s">
        <v>1490</v>
      </c>
      <c r="X42" s="62" t="s">
        <v>1073</v>
      </c>
      <c r="Y42" s="62" t="s">
        <v>1073</v>
      </c>
      <c r="Z42" s="274" t="s">
        <v>1574</v>
      </c>
      <c r="AA42" s="274" t="s">
        <v>1595</v>
      </c>
      <c r="AB42" s="274" t="s">
        <v>1624</v>
      </c>
      <c r="AC42" s="274" t="s">
        <v>1625</v>
      </c>
      <c r="AD42" s="248">
        <v>10</v>
      </c>
      <c r="AE42" s="15"/>
      <c r="AF42" s="15"/>
      <c r="AG42" s="15"/>
      <c r="AH42" s="15"/>
    </row>
    <row r="43" spans="1:34" ht="12.75">
      <c r="A43" s="247">
        <v>41</v>
      </c>
      <c r="B43" s="30"/>
      <c r="C43" s="32"/>
      <c r="D43" s="61" t="s">
        <v>816</v>
      </c>
      <c r="E43" s="62" t="s">
        <v>1073</v>
      </c>
      <c r="F43" s="61" t="s">
        <v>536</v>
      </c>
      <c r="G43" s="61" t="s">
        <v>683</v>
      </c>
      <c r="H43" s="61" t="s">
        <v>135</v>
      </c>
      <c r="I43" s="274" t="s">
        <v>144</v>
      </c>
      <c r="J43" s="61" t="s">
        <v>915</v>
      </c>
      <c r="K43" s="61" t="s">
        <v>258</v>
      </c>
      <c r="L43" s="61" t="s">
        <v>957</v>
      </c>
      <c r="M43" s="62" t="s">
        <v>1073</v>
      </c>
      <c r="N43" s="274" t="s">
        <v>614</v>
      </c>
      <c r="O43" s="274" t="s">
        <v>659</v>
      </c>
      <c r="P43" s="274" t="s">
        <v>674</v>
      </c>
      <c r="Q43" s="274" t="s">
        <v>1510</v>
      </c>
      <c r="R43" s="274" t="s">
        <v>1264</v>
      </c>
      <c r="S43" s="274" t="s">
        <v>1287</v>
      </c>
      <c r="T43" s="274" t="s">
        <v>1311</v>
      </c>
      <c r="U43" s="274" t="s">
        <v>1531</v>
      </c>
      <c r="V43" s="62" t="s">
        <v>1073</v>
      </c>
      <c r="W43" s="62" t="s">
        <v>1073</v>
      </c>
      <c r="X43" s="62" t="s">
        <v>1073</v>
      </c>
      <c r="Y43" s="62" t="s">
        <v>1073</v>
      </c>
      <c r="Z43" s="274" t="s">
        <v>1574</v>
      </c>
      <c r="AA43" s="274" t="s">
        <v>1595</v>
      </c>
      <c r="AB43" s="274" t="s">
        <v>1624</v>
      </c>
      <c r="AC43" s="62" t="s">
        <v>1073</v>
      </c>
      <c r="AD43" s="248">
        <v>11</v>
      </c>
      <c r="AE43" s="15"/>
      <c r="AF43" s="15"/>
      <c r="AG43" s="15"/>
      <c r="AH43" s="15"/>
    </row>
    <row r="44" spans="1:34" ht="12.75">
      <c r="A44" s="247">
        <v>42</v>
      </c>
      <c r="B44" s="30"/>
      <c r="C44" s="32"/>
      <c r="D44" s="61" t="s">
        <v>816</v>
      </c>
      <c r="E44" s="62" t="s">
        <v>1073</v>
      </c>
      <c r="F44" s="61" t="s">
        <v>536</v>
      </c>
      <c r="G44" s="61" t="s">
        <v>684</v>
      </c>
      <c r="H44" s="61" t="s">
        <v>135</v>
      </c>
      <c r="I44" s="274" t="s">
        <v>144</v>
      </c>
      <c r="J44" s="61" t="s">
        <v>915</v>
      </c>
      <c r="K44" s="61" t="s">
        <v>258</v>
      </c>
      <c r="L44" s="61" t="s">
        <v>957</v>
      </c>
      <c r="M44" s="62" t="s">
        <v>1073</v>
      </c>
      <c r="N44" s="274" t="s">
        <v>614</v>
      </c>
      <c r="O44" s="274" t="s">
        <v>659</v>
      </c>
      <c r="P44" s="61" t="s">
        <v>675</v>
      </c>
      <c r="Q44" s="274" t="s">
        <v>1511</v>
      </c>
      <c r="R44" s="274" t="s">
        <v>1264</v>
      </c>
      <c r="S44" s="274" t="s">
        <v>1287</v>
      </c>
      <c r="T44" s="274" t="s">
        <v>1311</v>
      </c>
      <c r="U44" s="274" t="s">
        <v>1531</v>
      </c>
      <c r="V44" s="62" t="s">
        <v>1073</v>
      </c>
      <c r="W44" s="62" t="s">
        <v>1073</v>
      </c>
      <c r="X44" s="62" t="s">
        <v>1073</v>
      </c>
      <c r="Y44" s="62" t="s">
        <v>1073</v>
      </c>
      <c r="Z44" s="274" t="s">
        <v>1574</v>
      </c>
      <c r="AA44" s="274" t="s">
        <v>1595</v>
      </c>
      <c r="AB44" s="274" t="s">
        <v>1626</v>
      </c>
      <c r="AC44" s="62" t="s">
        <v>1073</v>
      </c>
      <c r="AD44" s="248">
        <v>12</v>
      </c>
      <c r="AE44" s="15"/>
      <c r="AF44" s="15"/>
      <c r="AG44" s="15"/>
      <c r="AH44" s="15"/>
    </row>
    <row r="45" spans="1:34" ht="12.75">
      <c r="A45" s="247">
        <v>43</v>
      </c>
      <c r="B45" s="30"/>
      <c r="C45" s="32"/>
      <c r="D45" s="61" t="s">
        <v>816</v>
      </c>
      <c r="E45" s="62" t="s">
        <v>1073</v>
      </c>
      <c r="F45" s="61" t="s">
        <v>51</v>
      </c>
      <c r="G45" s="61" t="s">
        <v>684</v>
      </c>
      <c r="H45" s="61" t="s">
        <v>683</v>
      </c>
      <c r="I45" s="274" t="s">
        <v>144</v>
      </c>
      <c r="J45" s="61" t="s">
        <v>683</v>
      </c>
      <c r="K45" s="61" t="s">
        <v>258</v>
      </c>
      <c r="L45" s="61" t="s">
        <v>957</v>
      </c>
      <c r="M45" s="62" t="s">
        <v>1073</v>
      </c>
      <c r="N45" s="274" t="s">
        <v>614</v>
      </c>
      <c r="O45" s="274" t="s">
        <v>659</v>
      </c>
      <c r="P45" s="61" t="s">
        <v>675</v>
      </c>
      <c r="Q45" s="274" t="s">
        <v>1511</v>
      </c>
      <c r="R45" s="274" t="s">
        <v>1264</v>
      </c>
      <c r="S45" s="274" t="s">
        <v>1287</v>
      </c>
      <c r="T45" s="274" t="s">
        <v>1311</v>
      </c>
      <c r="U45" s="274" t="s">
        <v>1531</v>
      </c>
      <c r="V45" s="62" t="s">
        <v>1073</v>
      </c>
      <c r="W45" s="62" t="s">
        <v>1073</v>
      </c>
      <c r="X45" s="62" t="s">
        <v>1073</v>
      </c>
      <c r="Y45" s="62" t="s">
        <v>1073</v>
      </c>
      <c r="Z45" s="274" t="s">
        <v>1574</v>
      </c>
      <c r="AA45" s="274" t="s">
        <v>1595</v>
      </c>
      <c r="AB45" s="274" t="s">
        <v>1626</v>
      </c>
      <c r="AC45" s="62" t="s">
        <v>1073</v>
      </c>
      <c r="AD45" s="248">
        <v>13</v>
      </c>
      <c r="AE45" s="15"/>
      <c r="AF45" s="15"/>
      <c r="AG45" s="15"/>
      <c r="AH45" s="15"/>
    </row>
    <row r="46" spans="1:34" ht="12.75">
      <c r="A46" s="247">
        <v>44</v>
      </c>
      <c r="B46" s="30"/>
      <c r="C46" s="32"/>
      <c r="D46" s="62" t="s">
        <v>1073</v>
      </c>
      <c r="E46" s="62" t="s">
        <v>1073</v>
      </c>
      <c r="F46" s="61" t="s">
        <v>51</v>
      </c>
      <c r="G46" s="61" t="s">
        <v>684</v>
      </c>
      <c r="H46" s="61" t="s">
        <v>136</v>
      </c>
      <c r="I46" s="274" t="s">
        <v>144</v>
      </c>
      <c r="J46" s="61" t="s">
        <v>916</v>
      </c>
      <c r="K46" s="62" t="s">
        <v>1073</v>
      </c>
      <c r="L46" s="62" t="s">
        <v>1073</v>
      </c>
      <c r="M46" s="62" t="s">
        <v>1073</v>
      </c>
      <c r="N46" s="62" t="s">
        <v>1073</v>
      </c>
      <c r="O46" s="274" t="s">
        <v>660</v>
      </c>
      <c r="P46" s="61" t="s">
        <v>675</v>
      </c>
      <c r="Q46" s="274" t="s">
        <v>1511</v>
      </c>
      <c r="R46" s="274" t="s">
        <v>1265</v>
      </c>
      <c r="S46" s="274" t="s">
        <v>1288</v>
      </c>
      <c r="T46" s="274" t="s">
        <v>1312</v>
      </c>
      <c r="U46" s="274" t="s">
        <v>1532</v>
      </c>
      <c r="V46" s="62" t="s">
        <v>1073</v>
      </c>
      <c r="W46" s="62" t="s">
        <v>1073</v>
      </c>
      <c r="X46" s="62" t="s">
        <v>1073</v>
      </c>
      <c r="Y46" s="62" t="s">
        <v>1073</v>
      </c>
      <c r="Z46" s="62" t="s">
        <v>1073</v>
      </c>
      <c r="AA46" s="274" t="s">
        <v>1596</v>
      </c>
      <c r="AB46" s="274" t="s">
        <v>1626</v>
      </c>
      <c r="AC46" s="62" t="s">
        <v>1073</v>
      </c>
      <c r="AD46" s="248">
        <v>14</v>
      </c>
      <c r="AE46" s="15"/>
      <c r="AF46" s="15"/>
      <c r="AG46" s="15"/>
      <c r="AH46" s="15"/>
    </row>
    <row r="47" spans="1:34" ht="12.75">
      <c r="A47" s="247">
        <v>45</v>
      </c>
      <c r="B47" s="30"/>
      <c r="C47" s="32"/>
      <c r="D47" s="62" t="s">
        <v>1073</v>
      </c>
      <c r="E47" s="62" t="s">
        <v>1073</v>
      </c>
      <c r="F47" s="61" t="s">
        <v>52</v>
      </c>
      <c r="G47" s="61" t="s">
        <v>684</v>
      </c>
      <c r="H47" s="61" t="s">
        <v>136</v>
      </c>
      <c r="I47" s="274" t="s">
        <v>145</v>
      </c>
      <c r="J47" s="61" t="s">
        <v>916</v>
      </c>
      <c r="K47" s="62" t="s">
        <v>1073</v>
      </c>
      <c r="L47" s="62" t="s">
        <v>1073</v>
      </c>
      <c r="M47" s="62" t="s">
        <v>1073</v>
      </c>
      <c r="N47" s="62" t="s">
        <v>1073</v>
      </c>
      <c r="O47" s="274" t="s">
        <v>660</v>
      </c>
      <c r="P47" s="61" t="s">
        <v>675</v>
      </c>
      <c r="Q47" s="274" t="s">
        <v>1511</v>
      </c>
      <c r="R47" s="274" t="s">
        <v>1265</v>
      </c>
      <c r="S47" s="274" t="s">
        <v>1288</v>
      </c>
      <c r="T47" s="274" t="s">
        <v>1312</v>
      </c>
      <c r="U47" s="274" t="s">
        <v>1532</v>
      </c>
      <c r="V47" s="62" t="s">
        <v>1073</v>
      </c>
      <c r="W47" s="62" t="s">
        <v>1073</v>
      </c>
      <c r="X47" s="62" t="s">
        <v>1073</v>
      </c>
      <c r="Y47" s="62" t="s">
        <v>1073</v>
      </c>
      <c r="Z47" s="62" t="s">
        <v>1073</v>
      </c>
      <c r="AA47" s="274" t="s">
        <v>1596</v>
      </c>
      <c r="AB47" s="274" t="s">
        <v>1626</v>
      </c>
      <c r="AC47" s="62" t="s">
        <v>1073</v>
      </c>
      <c r="AD47" s="248">
        <v>15</v>
      </c>
      <c r="AE47" s="15"/>
      <c r="AF47" s="15"/>
      <c r="AG47" s="15"/>
      <c r="AH47" s="15"/>
    </row>
    <row r="48" spans="1:34" ht="12.75">
      <c r="A48" s="247">
        <v>46</v>
      </c>
      <c r="B48" s="30"/>
      <c r="C48" s="32"/>
      <c r="D48" s="62" t="s">
        <v>1073</v>
      </c>
      <c r="E48" s="62" t="s">
        <v>1073</v>
      </c>
      <c r="F48" s="61" t="s">
        <v>52</v>
      </c>
      <c r="G48" s="61" t="s">
        <v>684</v>
      </c>
      <c r="H48" s="61" t="s">
        <v>684</v>
      </c>
      <c r="I48" s="274" t="s">
        <v>145</v>
      </c>
      <c r="J48" s="61" t="s">
        <v>684</v>
      </c>
      <c r="K48" s="62" t="s">
        <v>1073</v>
      </c>
      <c r="L48" s="62" t="s">
        <v>1073</v>
      </c>
      <c r="M48" s="62" t="s">
        <v>1073</v>
      </c>
      <c r="N48" s="62" t="s">
        <v>1073</v>
      </c>
      <c r="O48" s="274" t="s">
        <v>660</v>
      </c>
      <c r="P48" s="61" t="s">
        <v>675</v>
      </c>
      <c r="Q48" s="274" t="s">
        <v>1511</v>
      </c>
      <c r="R48" s="274" t="s">
        <v>1265</v>
      </c>
      <c r="S48" s="274" t="s">
        <v>1288</v>
      </c>
      <c r="T48" s="274" t="s">
        <v>1312</v>
      </c>
      <c r="U48" s="274" t="s">
        <v>1532</v>
      </c>
      <c r="V48" s="62" t="s">
        <v>1073</v>
      </c>
      <c r="W48" s="62" t="s">
        <v>1073</v>
      </c>
      <c r="X48" s="62" t="s">
        <v>1073</v>
      </c>
      <c r="Y48" s="62" t="s">
        <v>1073</v>
      </c>
      <c r="Z48" s="62" t="s">
        <v>1073</v>
      </c>
      <c r="AA48" s="274" t="s">
        <v>1596</v>
      </c>
      <c r="AB48" s="274" t="s">
        <v>1626</v>
      </c>
      <c r="AC48" s="62" t="s">
        <v>1073</v>
      </c>
      <c r="AD48" s="248">
        <v>16</v>
      </c>
      <c r="AE48" s="15"/>
      <c r="AF48" s="15"/>
      <c r="AG48" s="15"/>
      <c r="AH48" s="15"/>
    </row>
    <row r="49" spans="1:34" ht="12.75">
      <c r="A49" s="247">
        <v>47</v>
      </c>
      <c r="B49" s="30"/>
      <c r="C49" s="32"/>
      <c r="D49" s="62" t="s">
        <v>1073</v>
      </c>
      <c r="E49" s="62" t="s">
        <v>1073</v>
      </c>
      <c r="F49" s="62" t="s">
        <v>1073</v>
      </c>
      <c r="G49" s="62" t="s">
        <v>1073</v>
      </c>
      <c r="H49" s="62" t="s">
        <v>1073</v>
      </c>
      <c r="I49" s="274" t="s">
        <v>145</v>
      </c>
      <c r="J49" s="62" t="s">
        <v>1073</v>
      </c>
      <c r="K49" s="62" t="s">
        <v>1073</v>
      </c>
      <c r="L49" s="62" t="s">
        <v>1073</v>
      </c>
      <c r="M49" s="62" t="s">
        <v>1073</v>
      </c>
      <c r="N49" s="62" t="s">
        <v>1073</v>
      </c>
      <c r="O49" s="274" t="s">
        <v>660</v>
      </c>
      <c r="P49" s="62" t="s">
        <v>1073</v>
      </c>
      <c r="Q49" s="62" t="s">
        <v>1073</v>
      </c>
      <c r="R49" s="274" t="s">
        <v>1265</v>
      </c>
      <c r="S49" s="274" t="s">
        <v>1288</v>
      </c>
      <c r="T49" s="274" t="s">
        <v>1312</v>
      </c>
      <c r="U49" s="274" t="s">
        <v>1532</v>
      </c>
      <c r="V49" s="62" t="s">
        <v>1073</v>
      </c>
      <c r="W49" s="62" t="s">
        <v>1073</v>
      </c>
      <c r="X49" s="62" t="s">
        <v>1073</v>
      </c>
      <c r="Y49" s="62" t="s">
        <v>1073</v>
      </c>
      <c r="Z49" s="62" t="s">
        <v>1073</v>
      </c>
      <c r="AA49" s="274" t="s">
        <v>1596</v>
      </c>
      <c r="AB49" s="62" t="s">
        <v>1073</v>
      </c>
      <c r="AC49" s="62" t="s">
        <v>1073</v>
      </c>
      <c r="AD49" s="248">
        <v>17</v>
      </c>
      <c r="AE49" s="15"/>
      <c r="AF49" s="15"/>
      <c r="AG49" s="15"/>
      <c r="AH49" s="15"/>
    </row>
    <row r="50" spans="1:34" ht="12.75">
      <c r="A50" s="247">
        <v>48</v>
      </c>
      <c r="B50" s="30"/>
      <c r="C50" s="32"/>
      <c r="D50" s="62" t="s">
        <v>1073</v>
      </c>
      <c r="E50" s="62" t="s">
        <v>1073</v>
      </c>
      <c r="F50" s="62" t="s">
        <v>1073</v>
      </c>
      <c r="G50" s="62" t="s">
        <v>1073</v>
      </c>
      <c r="H50" s="62" t="s">
        <v>1073</v>
      </c>
      <c r="I50" s="274" t="s">
        <v>145</v>
      </c>
      <c r="J50" s="62" t="s">
        <v>1073</v>
      </c>
      <c r="K50" s="62" t="s">
        <v>1073</v>
      </c>
      <c r="L50" s="62" t="s">
        <v>1073</v>
      </c>
      <c r="M50" s="62" t="s">
        <v>1073</v>
      </c>
      <c r="N50" s="62" t="s">
        <v>1073</v>
      </c>
      <c r="O50" s="274" t="s">
        <v>660</v>
      </c>
      <c r="P50" s="62" t="s">
        <v>1073</v>
      </c>
      <c r="Q50" s="62" t="s">
        <v>1073</v>
      </c>
      <c r="R50" s="274" t="s">
        <v>1265</v>
      </c>
      <c r="S50" s="274" t="s">
        <v>1288</v>
      </c>
      <c r="T50" s="274" t="s">
        <v>1312</v>
      </c>
      <c r="U50" s="274" t="s">
        <v>1532</v>
      </c>
      <c r="V50" s="62" t="s">
        <v>1073</v>
      </c>
      <c r="W50" s="62" t="s">
        <v>1073</v>
      </c>
      <c r="X50" s="62" t="s">
        <v>1073</v>
      </c>
      <c r="Y50" s="62" t="s">
        <v>1073</v>
      </c>
      <c r="Z50" s="62" t="s">
        <v>1073</v>
      </c>
      <c r="AA50" s="274" t="s">
        <v>1596</v>
      </c>
      <c r="AB50" s="62" t="s">
        <v>1073</v>
      </c>
      <c r="AC50" s="62" t="s">
        <v>1073</v>
      </c>
      <c r="AD50" s="248">
        <v>18</v>
      </c>
      <c r="AE50" s="15"/>
      <c r="AF50" s="15"/>
      <c r="AG50" s="15"/>
      <c r="AH50" s="15"/>
    </row>
    <row r="51" spans="1:34" ht="12.75">
      <c r="A51" s="247">
        <v>49</v>
      </c>
      <c r="B51" s="30"/>
      <c r="C51" s="32"/>
      <c r="D51" s="62" t="s">
        <v>1073</v>
      </c>
      <c r="E51" s="62" t="s">
        <v>1073</v>
      </c>
      <c r="F51" s="62" t="s">
        <v>1073</v>
      </c>
      <c r="G51" s="62" t="s">
        <v>1073</v>
      </c>
      <c r="H51" s="62" t="s">
        <v>1073</v>
      </c>
      <c r="I51" s="274" t="s">
        <v>146</v>
      </c>
      <c r="J51" s="62" t="s">
        <v>1073</v>
      </c>
      <c r="K51" s="62" t="s">
        <v>1073</v>
      </c>
      <c r="L51" s="62" t="s">
        <v>1073</v>
      </c>
      <c r="M51" s="62" t="s">
        <v>1073</v>
      </c>
      <c r="N51" s="62" t="s">
        <v>1073</v>
      </c>
      <c r="O51" s="274" t="s">
        <v>660</v>
      </c>
      <c r="P51" s="62" t="s">
        <v>1073</v>
      </c>
      <c r="Q51" s="62" t="s">
        <v>1073</v>
      </c>
      <c r="R51" s="274" t="s">
        <v>1265</v>
      </c>
      <c r="S51" s="274" t="s">
        <v>1288</v>
      </c>
      <c r="T51" s="274" t="s">
        <v>1312</v>
      </c>
      <c r="U51" s="274" t="s">
        <v>1532</v>
      </c>
      <c r="V51" s="62" t="s">
        <v>1073</v>
      </c>
      <c r="W51" s="62" t="s">
        <v>1073</v>
      </c>
      <c r="X51" s="62" t="s">
        <v>1073</v>
      </c>
      <c r="Y51" s="62" t="s">
        <v>1073</v>
      </c>
      <c r="Z51" s="62" t="s">
        <v>1073</v>
      </c>
      <c r="AA51" s="274" t="s">
        <v>1596</v>
      </c>
      <c r="AB51" s="62" t="s">
        <v>1073</v>
      </c>
      <c r="AC51" s="62" t="s">
        <v>1073</v>
      </c>
      <c r="AD51" s="248">
        <v>19</v>
      </c>
      <c r="AE51" s="15"/>
      <c r="AF51" s="15"/>
      <c r="AG51" s="15"/>
      <c r="AH51" s="15"/>
    </row>
    <row r="52" spans="1:34" ht="12.75">
      <c r="A52" s="247">
        <v>50</v>
      </c>
      <c r="B52" s="30"/>
      <c r="C52" s="32"/>
      <c r="D52" s="62" t="s">
        <v>1073</v>
      </c>
      <c r="E52" s="62" t="s">
        <v>1073</v>
      </c>
      <c r="F52" s="62" t="s">
        <v>1073</v>
      </c>
      <c r="G52" s="62" t="s">
        <v>1073</v>
      </c>
      <c r="H52" s="62" t="s">
        <v>1073</v>
      </c>
      <c r="I52" s="274" t="s">
        <v>146</v>
      </c>
      <c r="J52" s="62" t="s">
        <v>1073</v>
      </c>
      <c r="K52" s="62" t="s">
        <v>1073</v>
      </c>
      <c r="L52" s="62" t="s">
        <v>1073</v>
      </c>
      <c r="M52" s="62" t="s">
        <v>1073</v>
      </c>
      <c r="N52" s="62" t="s">
        <v>1073</v>
      </c>
      <c r="O52" s="62" t="s">
        <v>1073</v>
      </c>
      <c r="P52" s="62" t="s">
        <v>1073</v>
      </c>
      <c r="Q52" s="62" t="s">
        <v>1073</v>
      </c>
      <c r="R52" s="62" t="s">
        <v>1073</v>
      </c>
      <c r="S52" s="62" t="s">
        <v>1073</v>
      </c>
      <c r="T52" s="62" t="s">
        <v>1073</v>
      </c>
      <c r="U52" s="62" t="s">
        <v>1073</v>
      </c>
      <c r="V52" s="62" t="s">
        <v>1073</v>
      </c>
      <c r="W52" s="62" t="s">
        <v>1073</v>
      </c>
      <c r="X52" s="62" t="s">
        <v>1073</v>
      </c>
      <c r="Y52" s="62" t="s">
        <v>1073</v>
      </c>
      <c r="Z52" s="62" t="s">
        <v>1073</v>
      </c>
      <c r="AA52" s="62" t="s">
        <v>1073</v>
      </c>
      <c r="AB52" s="62" t="s">
        <v>1073</v>
      </c>
      <c r="AC52" s="62" t="s">
        <v>1073</v>
      </c>
      <c r="AD52" s="248">
        <v>20</v>
      </c>
      <c r="AE52" s="15"/>
      <c r="AF52" s="15"/>
      <c r="AG52" s="15"/>
      <c r="AH52" s="15"/>
    </row>
    <row r="53" spans="1:34" ht="12.75">
      <c r="A53" s="247">
        <v>51</v>
      </c>
      <c r="B53" s="30"/>
      <c r="C53" s="32"/>
      <c r="D53" s="62" t="s">
        <v>1073</v>
      </c>
      <c r="E53" s="62" t="s">
        <v>1073</v>
      </c>
      <c r="F53" s="62" t="s">
        <v>1073</v>
      </c>
      <c r="G53" s="62" t="s">
        <v>1073</v>
      </c>
      <c r="H53" s="62" t="s">
        <v>1073</v>
      </c>
      <c r="I53" s="274" t="s">
        <v>146</v>
      </c>
      <c r="J53" s="62" t="s">
        <v>1073</v>
      </c>
      <c r="K53" s="62" t="s">
        <v>1073</v>
      </c>
      <c r="L53" s="62" t="s">
        <v>1073</v>
      </c>
      <c r="M53" s="62" t="s">
        <v>1073</v>
      </c>
      <c r="N53" s="62" t="s">
        <v>1073</v>
      </c>
      <c r="O53" s="62" t="s">
        <v>1073</v>
      </c>
      <c r="P53" s="62" t="s">
        <v>1073</v>
      </c>
      <c r="Q53" s="62" t="s">
        <v>1073</v>
      </c>
      <c r="R53" s="62" t="s">
        <v>1073</v>
      </c>
      <c r="S53" s="62" t="s">
        <v>1073</v>
      </c>
      <c r="T53" s="62" t="s">
        <v>1073</v>
      </c>
      <c r="U53" s="62" t="s">
        <v>1073</v>
      </c>
      <c r="V53" s="62" t="s">
        <v>1073</v>
      </c>
      <c r="W53" s="62" t="s">
        <v>1073</v>
      </c>
      <c r="X53" s="62" t="s">
        <v>1073</v>
      </c>
      <c r="Y53" s="62" t="s">
        <v>1073</v>
      </c>
      <c r="Z53" s="62" t="s">
        <v>1073</v>
      </c>
      <c r="AA53" s="62" t="s">
        <v>1073</v>
      </c>
      <c r="AB53" s="62" t="s">
        <v>1073</v>
      </c>
      <c r="AC53" s="62" t="s">
        <v>1073</v>
      </c>
      <c r="AD53" s="248">
        <v>21</v>
      </c>
      <c r="AE53" s="15"/>
      <c r="AF53" s="15"/>
      <c r="AG53" s="15"/>
      <c r="AH53" s="15"/>
    </row>
    <row r="54" spans="1:34" ht="12.75">
      <c r="A54" s="247">
        <v>52</v>
      </c>
      <c r="B54" s="30"/>
      <c r="C54" s="32"/>
      <c r="D54" s="62" t="s">
        <v>1073</v>
      </c>
      <c r="E54" s="62" t="s">
        <v>1073</v>
      </c>
      <c r="F54" s="62" t="s">
        <v>1073</v>
      </c>
      <c r="G54" s="62" t="s">
        <v>1073</v>
      </c>
      <c r="H54" s="62" t="s">
        <v>1073</v>
      </c>
      <c r="I54" s="274" t="s">
        <v>146</v>
      </c>
      <c r="J54" s="62" t="s">
        <v>1073</v>
      </c>
      <c r="K54" s="62" t="s">
        <v>1073</v>
      </c>
      <c r="L54" s="62" t="s">
        <v>1073</v>
      </c>
      <c r="M54" s="62" t="s">
        <v>1073</v>
      </c>
      <c r="N54" s="62" t="s">
        <v>1073</v>
      </c>
      <c r="O54" s="62" t="s">
        <v>1073</v>
      </c>
      <c r="P54" s="62" t="s">
        <v>1073</v>
      </c>
      <c r="Q54" s="62" t="s">
        <v>1073</v>
      </c>
      <c r="R54" s="62" t="s">
        <v>1073</v>
      </c>
      <c r="S54" s="62" t="s">
        <v>1073</v>
      </c>
      <c r="T54" s="62" t="s">
        <v>1073</v>
      </c>
      <c r="U54" s="62" t="s">
        <v>1073</v>
      </c>
      <c r="V54" s="62" t="s">
        <v>1073</v>
      </c>
      <c r="W54" s="62" t="s">
        <v>1073</v>
      </c>
      <c r="X54" s="62" t="s">
        <v>1073</v>
      </c>
      <c r="Y54" s="62" t="s">
        <v>1073</v>
      </c>
      <c r="Z54" s="62" t="s">
        <v>1073</v>
      </c>
      <c r="AA54" s="62" t="s">
        <v>1073</v>
      </c>
      <c r="AB54" s="62" t="s">
        <v>1073</v>
      </c>
      <c r="AC54" s="62" t="s">
        <v>1073</v>
      </c>
      <c r="AD54" s="248">
        <v>22</v>
      </c>
      <c r="AE54" s="15"/>
      <c r="AF54" s="15"/>
      <c r="AG54" s="15"/>
      <c r="AH54" s="15"/>
    </row>
    <row r="55" spans="1:34" ht="12.75">
      <c r="A55" s="247">
        <v>53</v>
      </c>
      <c r="B55" s="30"/>
      <c r="C55" s="32"/>
      <c r="D55" s="62" t="s">
        <v>1073</v>
      </c>
      <c r="E55" s="62" t="s">
        <v>1073</v>
      </c>
      <c r="F55" s="62" t="s">
        <v>1073</v>
      </c>
      <c r="G55" s="62" t="s">
        <v>1073</v>
      </c>
      <c r="H55" s="62" t="s">
        <v>1073</v>
      </c>
      <c r="I55" s="95" t="s">
        <v>1073</v>
      </c>
      <c r="J55" s="62" t="s">
        <v>1073</v>
      </c>
      <c r="K55" s="62" t="s">
        <v>1073</v>
      </c>
      <c r="L55" s="62" t="s">
        <v>1073</v>
      </c>
      <c r="M55" s="62" t="s">
        <v>1073</v>
      </c>
      <c r="N55" s="62" t="s">
        <v>1073</v>
      </c>
      <c r="O55" s="62" t="s">
        <v>1073</v>
      </c>
      <c r="P55" s="62" t="s">
        <v>1073</v>
      </c>
      <c r="Q55" s="62" t="s">
        <v>1073</v>
      </c>
      <c r="R55" s="62" t="s">
        <v>1073</v>
      </c>
      <c r="S55" s="62" t="s">
        <v>1073</v>
      </c>
      <c r="T55" s="62" t="s">
        <v>1073</v>
      </c>
      <c r="U55" s="62" t="s">
        <v>1073</v>
      </c>
      <c r="V55" s="62" t="s">
        <v>1073</v>
      </c>
      <c r="W55" s="62" t="s">
        <v>1073</v>
      </c>
      <c r="X55" s="62" t="s">
        <v>1073</v>
      </c>
      <c r="Y55" s="62" t="s">
        <v>1073</v>
      </c>
      <c r="Z55" s="62" t="s">
        <v>1073</v>
      </c>
      <c r="AA55" s="62" t="s">
        <v>1073</v>
      </c>
      <c r="AB55" s="62" t="s">
        <v>1073</v>
      </c>
      <c r="AC55" s="62" t="s">
        <v>1073</v>
      </c>
      <c r="AD55" s="248">
        <v>23</v>
      </c>
      <c r="AE55" s="15"/>
      <c r="AF55" s="15"/>
      <c r="AG55" s="15"/>
      <c r="AH55" s="15"/>
    </row>
    <row r="56" spans="1:34" ht="12.75">
      <c r="A56" s="247">
        <v>54</v>
      </c>
      <c r="B56" s="30"/>
      <c r="C56" s="32"/>
      <c r="D56" s="62" t="s">
        <v>1073</v>
      </c>
      <c r="E56" s="62" t="s">
        <v>1073</v>
      </c>
      <c r="F56" s="62" t="s">
        <v>1073</v>
      </c>
      <c r="G56" s="62" t="s">
        <v>1073</v>
      </c>
      <c r="H56" s="62" t="s">
        <v>1073</v>
      </c>
      <c r="I56" s="95" t="s">
        <v>1073</v>
      </c>
      <c r="J56" s="62" t="s">
        <v>1073</v>
      </c>
      <c r="K56" s="62" t="s">
        <v>1073</v>
      </c>
      <c r="L56" s="62" t="s">
        <v>1073</v>
      </c>
      <c r="M56" s="62" t="s">
        <v>1073</v>
      </c>
      <c r="N56" s="62" t="s">
        <v>1073</v>
      </c>
      <c r="O56" s="62" t="s">
        <v>1073</v>
      </c>
      <c r="P56" s="62" t="s">
        <v>1073</v>
      </c>
      <c r="Q56" s="62" t="s">
        <v>1073</v>
      </c>
      <c r="R56" s="62" t="s">
        <v>1073</v>
      </c>
      <c r="S56" s="62" t="s">
        <v>1073</v>
      </c>
      <c r="T56" s="62" t="s">
        <v>1073</v>
      </c>
      <c r="U56" s="62" t="s">
        <v>1073</v>
      </c>
      <c r="V56" s="62" t="s">
        <v>1073</v>
      </c>
      <c r="W56" s="62" t="s">
        <v>1073</v>
      </c>
      <c r="X56" s="62" t="s">
        <v>1073</v>
      </c>
      <c r="Y56" s="62" t="s">
        <v>1073</v>
      </c>
      <c r="Z56" s="62" t="s">
        <v>1073</v>
      </c>
      <c r="AA56" s="62" t="s">
        <v>1073</v>
      </c>
      <c r="AB56" s="62" t="s">
        <v>1073</v>
      </c>
      <c r="AC56" s="62" t="s">
        <v>1073</v>
      </c>
      <c r="AD56" s="248">
        <v>24</v>
      </c>
      <c r="AE56" s="15"/>
      <c r="AF56" s="15"/>
      <c r="AG56" s="15"/>
      <c r="AH56" s="15"/>
    </row>
    <row r="57" spans="1:34" ht="12.75">
      <c r="A57" s="247">
        <v>55</v>
      </c>
      <c r="B57" s="30"/>
      <c r="C57" s="32"/>
      <c r="D57" s="62" t="s">
        <v>1073</v>
      </c>
      <c r="E57" s="62" t="s">
        <v>1073</v>
      </c>
      <c r="F57" s="62" t="s">
        <v>1073</v>
      </c>
      <c r="G57" s="62" t="s">
        <v>1073</v>
      </c>
      <c r="H57" s="62" t="s">
        <v>1073</v>
      </c>
      <c r="I57" s="95" t="s">
        <v>1073</v>
      </c>
      <c r="J57" s="62" t="s">
        <v>1073</v>
      </c>
      <c r="K57" s="62" t="s">
        <v>1073</v>
      </c>
      <c r="L57" s="62" t="s">
        <v>1073</v>
      </c>
      <c r="M57" s="62" t="s">
        <v>1073</v>
      </c>
      <c r="N57" s="62" t="s">
        <v>1073</v>
      </c>
      <c r="O57" s="62" t="s">
        <v>1073</v>
      </c>
      <c r="P57" s="62" t="s">
        <v>1073</v>
      </c>
      <c r="Q57" s="62" t="s">
        <v>1073</v>
      </c>
      <c r="R57" s="62" t="s">
        <v>1073</v>
      </c>
      <c r="S57" s="62" t="s">
        <v>1073</v>
      </c>
      <c r="T57" s="62" t="s">
        <v>1073</v>
      </c>
      <c r="U57" s="62" t="s">
        <v>1073</v>
      </c>
      <c r="V57" s="62" t="s">
        <v>1073</v>
      </c>
      <c r="W57" s="62" t="s">
        <v>1073</v>
      </c>
      <c r="X57" s="62" t="s">
        <v>1073</v>
      </c>
      <c r="Y57" s="62" t="s">
        <v>1073</v>
      </c>
      <c r="Z57" s="62" t="s">
        <v>1073</v>
      </c>
      <c r="AA57" s="62" t="s">
        <v>1073</v>
      </c>
      <c r="AB57" s="62" t="s">
        <v>1073</v>
      </c>
      <c r="AC57" s="62" t="s">
        <v>1073</v>
      </c>
      <c r="AD57" s="248">
        <v>25</v>
      </c>
      <c r="AE57" s="15"/>
      <c r="AF57" s="15"/>
      <c r="AG57" s="15"/>
      <c r="AH57" s="15"/>
    </row>
    <row r="58" spans="1:34" ht="12.75">
      <c r="A58" s="247">
        <v>56</v>
      </c>
      <c r="B58" s="30"/>
      <c r="C58" s="32"/>
      <c r="D58" s="62" t="s">
        <v>1073</v>
      </c>
      <c r="E58" s="62" t="s">
        <v>1073</v>
      </c>
      <c r="F58" s="62" t="s">
        <v>1073</v>
      </c>
      <c r="G58" s="62" t="s">
        <v>1073</v>
      </c>
      <c r="H58" s="62" t="s">
        <v>1073</v>
      </c>
      <c r="I58" s="95" t="s">
        <v>1073</v>
      </c>
      <c r="J58" s="62" t="s">
        <v>1073</v>
      </c>
      <c r="K58" s="62" t="s">
        <v>1073</v>
      </c>
      <c r="L58" s="62" t="s">
        <v>1073</v>
      </c>
      <c r="M58" s="62" t="s">
        <v>1073</v>
      </c>
      <c r="N58" s="62" t="s">
        <v>1073</v>
      </c>
      <c r="O58" s="62" t="s">
        <v>1073</v>
      </c>
      <c r="P58" s="62" t="s">
        <v>1073</v>
      </c>
      <c r="Q58" s="62" t="s">
        <v>1073</v>
      </c>
      <c r="R58" s="62" t="s">
        <v>1073</v>
      </c>
      <c r="S58" s="62" t="s">
        <v>1073</v>
      </c>
      <c r="T58" s="62" t="s">
        <v>1073</v>
      </c>
      <c r="U58" s="62" t="s">
        <v>1073</v>
      </c>
      <c r="V58" s="62" t="s">
        <v>1073</v>
      </c>
      <c r="W58" s="62" t="s">
        <v>1073</v>
      </c>
      <c r="X58" s="62" t="s">
        <v>1073</v>
      </c>
      <c r="Y58" s="62" t="s">
        <v>1073</v>
      </c>
      <c r="Z58" s="62" t="s">
        <v>1073</v>
      </c>
      <c r="AA58" s="62" t="s">
        <v>1073</v>
      </c>
      <c r="AB58" s="62" t="s">
        <v>1073</v>
      </c>
      <c r="AC58" s="62" t="s">
        <v>1073</v>
      </c>
      <c r="AD58" s="248">
        <v>26</v>
      </c>
      <c r="AE58" s="15"/>
      <c r="AF58" s="15"/>
      <c r="AG58" s="15"/>
      <c r="AH58" s="15"/>
    </row>
    <row r="59" spans="1:34" ht="12.75">
      <c r="A59" s="247">
        <v>57</v>
      </c>
      <c r="B59" s="15"/>
      <c r="C59" s="32"/>
      <c r="D59" s="62" t="s">
        <v>1073</v>
      </c>
      <c r="E59" s="62" t="s">
        <v>1073</v>
      </c>
      <c r="F59" s="62" t="s">
        <v>1073</v>
      </c>
      <c r="G59" s="62" t="s">
        <v>1073</v>
      </c>
      <c r="H59" s="62" t="s">
        <v>1073</v>
      </c>
      <c r="I59" s="95" t="s">
        <v>1073</v>
      </c>
      <c r="J59" s="62" t="s">
        <v>1073</v>
      </c>
      <c r="K59" s="62" t="s">
        <v>1073</v>
      </c>
      <c r="L59" s="62" t="s">
        <v>1073</v>
      </c>
      <c r="M59" s="62" t="s">
        <v>1073</v>
      </c>
      <c r="N59" s="62" t="s">
        <v>1073</v>
      </c>
      <c r="O59" s="62" t="s">
        <v>1073</v>
      </c>
      <c r="P59" s="62" t="s">
        <v>1073</v>
      </c>
      <c r="Q59" s="62" t="s">
        <v>1073</v>
      </c>
      <c r="R59" s="62" t="s">
        <v>1073</v>
      </c>
      <c r="S59" s="62" t="s">
        <v>1073</v>
      </c>
      <c r="T59" s="62" t="s">
        <v>1073</v>
      </c>
      <c r="U59" s="62" t="s">
        <v>1073</v>
      </c>
      <c r="V59" s="62" t="s">
        <v>1073</v>
      </c>
      <c r="W59" s="62" t="s">
        <v>1073</v>
      </c>
      <c r="X59" s="62" t="s">
        <v>1073</v>
      </c>
      <c r="Y59" s="62" t="s">
        <v>1073</v>
      </c>
      <c r="Z59" s="62" t="s">
        <v>1073</v>
      </c>
      <c r="AA59" s="62" t="s">
        <v>1073</v>
      </c>
      <c r="AB59" s="62" t="s">
        <v>1073</v>
      </c>
      <c r="AC59" s="62" t="s">
        <v>1073</v>
      </c>
      <c r="AD59" s="248">
        <v>27</v>
      </c>
      <c r="AE59" s="15"/>
      <c r="AF59" s="15"/>
      <c r="AG59" s="15"/>
      <c r="AH59" s="15"/>
    </row>
    <row r="60" spans="1:32" ht="12.75">
      <c r="A60" s="247">
        <v>58</v>
      </c>
      <c r="B60" s="15"/>
      <c r="C60" s="32"/>
      <c r="D60" s="62" t="s">
        <v>1073</v>
      </c>
      <c r="E60" s="62" t="s">
        <v>1073</v>
      </c>
      <c r="F60" s="62" t="s">
        <v>1073</v>
      </c>
      <c r="G60" s="62" t="s">
        <v>1073</v>
      </c>
      <c r="H60" s="62" t="s">
        <v>1073</v>
      </c>
      <c r="I60" s="95" t="s">
        <v>1073</v>
      </c>
      <c r="J60" s="62" t="s">
        <v>1073</v>
      </c>
      <c r="K60" s="62" t="s">
        <v>1073</v>
      </c>
      <c r="L60" s="62" t="s">
        <v>1073</v>
      </c>
      <c r="M60" s="62" t="s">
        <v>1073</v>
      </c>
      <c r="N60" s="62" t="s">
        <v>1073</v>
      </c>
      <c r="O60" s="62" t="s">
        <v>1073</v>
      </c>
      <c r="P60" s="62" t="s">
        <v>1073</v>
      </c>
      <c r="Q60" s="62" t="s">
        <v>1073</v>
      </c>
      <c r="R60" s="62" t="s">
        <v>1073</v>
      </c>
      <c r="S60" s="62" t="s">
        <v>1073</v>
      </c>
      <c r="T60" s="62" t="s">
        <v>1073</v>
      </c>
      <c r="U60" s="62" t="s">
        <v>1073</v>
      </c>
      <c r="V60" s="62" t="s">
        <v>1073</v>
      </c>
      <c r="W60" s="62" t="s">
        <v>1073</v>
      </c>
      <c r="X60" s="62" t="s">
        <v>1073</v>
      </c>
      <c r="Y60" s="62" t="s">
        <v>1073</v>
      </c>
      <c r="Z60" s="62" t="s">
        <v>1073</v>
      </c>
      <c r="AA60" s="62" t="s">
        <v>1073</v>
      </c>
      <c r="AB60" s="62" t="s">
        <v>1073</v>
      </c>
      <c r="AC60" s="62" t="s">
        <v>1073</v>
      </c>
      <c r="AD60" s="248">
        <v>28</v>
      </c>
      <c r="AE60" s="15"/>
      <c r="AF60" s="15"/>
    </row>
    <row r="61" spans="1:32" ht="12.75">
      <c r="A61" s="247">
        <v>59</v>
      </c>
      <c r="B61" s="15"/>
      <c r="C61" s="32"/>
      <c r="D61" s="62" t="s">
        <v>1073</v>
      </c>
      <c r="E61" s="62" t="s">
        <v>1073</v>
      </c>
      <c r="F61" s="62" t="s">
        <v>1073</v>
      </c>
      <c r="G61" s="62" t="s">
        <v>1073</v>
      </c>
      <c r="H61" s="62" t="s">
        <v>1073</v>
      </c>
      <c r="I61" s="95" t="s">
        <v>1073</v>
      </c>
      <c r="J61" s="62" t="s">
        <v>1073</v>
      </c>
      <c r="K61" s="62" t="s">
        <v>1073</v>
      </c>
      <c r="L61" s="62" t="s">
        <v>1073</v>
      </c>
      <c r="M61" s="62" t="s">
        <v>1073</v>
      </c>
      <c r="N61" s="62" t="s">
        <v>1073</v>
      </c>
      <c r="O61" s="62" t="s">
        <v>1073</v>
      </c>
      <c r="P61" s="62" t="s">
        <v>1073</v>
      </c>
      <c r="Q61" s="62" t="s">
        <v>1073</v>
      </c>
      <c r="R61" s="62" t="s">
        <v>1073</v>
      </c>
      <c r="S61" s="62" t="s">
        <v>1073</v>
      </c>
      <c r="T61" s="62" t="s">
        <v>1073</v>
      </c>
      <c r="U61" s="62" t="s">
        <v>1073</v>
      </c>
      <c r="V61" s="62" t="s">
        <v>1073</v>
      </c>
      <c r="W61" s="62" t="s">
        <v>1073</v>
      </c>
      <c r="X61" s="62" t="s">
        <v>1073</v>
      </c>
      <c r="Y61" s="62" t="s">
        <v>1073</v>
      </c>
      <c r="Z61" s="62" t="s">
        <v>1073</v>
      </c>
      <c r="AA61" s="62" t="s">
        <v>1073</v>
      </c>
      <c r="AB61" s="62" t="s">
        <v>1073</v>
      </c>
      <c r="AC61" s="62" t="s">
        <v>1073</v>
      </c>
      <c r="AD61" s="248">
        <v>29</v>
      </c>
      <c r="AE61" s="15"/>
      <c r="AF61" s="15"/>
    </row>
    <row r="62" spans="1:30" ht="12.75">
      <c r="A62" s="247">
        <v>60</v>
      </c>
      <c r="C62" s="177"/>
      <c r="D62" s="73" t="s">
        <v>1073</v>
      </c>
      <c r="E62" s="73" t="s">
        <v>1073</v>
      </c>
      <c r="F62" s="73" t="s">
        <v>1073</v>
      </c>
      <c r="G62" s="73" t="s">
        <v>1073</v>
      </c>
      <c r="H62" s="73" t="s">
        <v>1073</v>
      </c>
      <c r="I62" s="275" t="s">
        <v>1073</v>
      </c>
      <c r="J62" s="73" t="s">
        <v>1073</v>
      </c>
      <c r="K62" s="73" t="s">
        <v>1073</v>
      </c>
      <c r="L62" s="73" t="s">
        <v>1073</v>
      </c>
      <c r="M62" s="73" t="s">
        <v>1073</v>
      </c>
      <c r="N62" s="73" t="s">
        <v>1073</v>
      </c>
      <c r="O62" s="73" t="s">
        <v>1073</v>
      </c>
      <c r="P62" s="73" t="s">
        <v>1073</v>
      </c>
      <c r="Q62" s="73" t="s">
        <v>1073</v>
      </c>
      <c r="R62" s="73" t="s">
        <v>1073</v>
      </c>
      <c r="S62" s="73" t="s">
        <v>1073</v>
      </c>
      <c r="T62" s="73" t="s">
        <v>1073</v>
      </c>
      <c r="U62" s="73" t="s">
        <v>1073</v>
      </c>
      <c r="V62" s="73" t="s">
        <v>1073</v>
      </c>
      <c r="W62" s="73" t="s">
        <v>1073</v>
      </c>
      <c r="X62" s="73" t="s">
        <v>1073</v>
      </c>
      <c r="Y62" s="73" t="s">
        <v>1073</v>
      </c>
      <c r="Z62" s="73" t="s">
        <v>1073</v>
      </c>
      <c r="AA62" s="73" t="s">
        <v>1073</v>
      </c>
      <c r="AB62" s="73" t="s">
        <v>1073</v>
      </c>
      <c r="AC62" s="73" t="s">
        <v>1073</v>
      </c>
      <c r="AD62" s="248">
        <v>30</v>
      </c>
    </row>
    <row r="63" spans="1:29" ht="12.75">
      <c r="A63" s="179"/>
      <c r="C63" s="177"/>
      <c r="H63" s="3"/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34" ht="12.75">
      <c r="A64" s="189"/>
      <c r="B64" s="189"/>
      <c r="C64" s="180"/>
      <c r="D64" s="90">
        <v>2</v>
      </c>
      <c r="E64" s="90">
        <v>2</v>
      </c>
      <c r="F64" s="90">
        <v>2</v>
      </c>
      <c r="G64" s="90">
        <v>2</v>
      </c>
      <c r="H64" s="90">
        <v>2</v>
      </c>
      <c r="I64" s="90">
        <v>2</v>
      </c>
      <c r="J64" s="90">
        <v>2</v>
      </c>
      <c r="K64" s="90">
        <v>2</v>
      </c>
      <c r="L64" s="90">
        <v>2</v>
      </c>
      <c r="M64" s="90">
        <v>2</v>
      </c>
      <c r="N64" s="90">
        <v>2</v>
      </c>
      <c r="O64" s="90">
        <v>2</v>
      </c>
      <c r="P64" s="90">
        <v>2</v>
      </c>
      <c r="Q64" s="90">
        <v>2</v>
      </c>
      <c r="R64" s="90">
        <v>2</v>
      </c>
      <c r="S64" s="90">
        <v>2</v>
      </c>
      <c r="T64" s="90">
        <v>2</v>
      </c>
      <c r="U64" s="90">
        <v>2</v>
      </c>
      <c r="V64" s="90">
        <v>2</v>
      </c>
      <c r="W64" s="90">
        <v>2</v>
      </c>
      <c r="X64" s="90">
        <v>2</v>
      </c>
      <c r="Y64" s="90">
        <v>2</v>
      </c>
      <c r="Z64" s="90">
        <v>2</v>
      </c>
      <c r="AA64" s="90">
        <v>2</v>
      </c>
      <c r="AB64" s="90">
        <v>2</v>
      </c>
      <c r="AC64" s="90">
        <v>2</v>
      </c>
      <c r="AG64" s="15"/>
      <c r="AH64" s="15"/>
    </row>
    <row r="65" ht="12.75">
      <c r="C65" s="177"/>
    </row>
    <row r="66" ht="12.75">
      <c r="C66" s="177"/>
    </row>
  </sheetData>
  <sheetProtection password="D02D" sheet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BJ66"/>
  <sheetViews>
    <sheetView zoomScale="75" zoomScaleNormal="75" zoomScalePageLayoutView="0" workbookViewId="0" topLeftCell="A1">
      <pane xSplit="3" ySplit="1" topLeftCell="A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G6" sqref="AG6:AG7"/>
    </sheetView>
  </sheetViews>
  <sheetFormatPr defaultColWidth="9.140625" defaultRowHeight="12.75"/>
  <cols>
    <col min="1" max="1" width="6.421875" style="0" bestFit="1" customWidth="1"/>
    <col min="2" max="2" width="8.57421875" style="0" bestFit="1" customWidth="1"/>
    <col min="3" max="3" width="6.140625" style="0" bestFit="1" customWidth="1"/>
    <col min="4" max="38" width="10.140625" style="0" bestFit="1" customWidth="1"/>
    <col min="39" max="47" width="10.28125" style="0" bestFit="1" customWidth="1"/>
    <col min="48" max="48" width="24.8515625" style="3" bestFit="1" customWidth="1"/>
    <col min="49" max="49" width="10.28125" style="0" bestFit="1" customWidth="1"/>
    <col min="50" max="50" width="24.8515625" style="3" bestFit="1" customWidth="1"/>
    <col min="51" max="51" width="10.28125" style="0" bestFit="1" customWidth="1"/>
    <col min="52" max="52" width="24.8515625" style="3" bestFit="1" customWidth="1"/>
    <col min="53" max="53" width="10.28125" style="3" bestFit="1" customWidth="1"/>
    <col min="54" max="54" width="10.28125" style="0" bestFit="1" customWidth="1"/>
    <col min="55" max="56" width="10.28125" style="3" bestFit="1" customWidth="1"/>
    <col min="57" max="57" width="10.28125" style="0" bestFit="1" customWidth="1"/>
    <col min="58" max="58" width="3.140625" style="0" bestFit="1" customWidth="1"/>
    <col min="59" max="59" width="19.7109375" style="0" bestFit="1" customWidth="1"/>
  </cols>
  <sheetData>
    <row r="1" spans="1:62" ht="12.75">
      <c r="A1" s="189"/>
      <c r="B1" s="189"/>
      <c r="C1" s="180"/>
      <c r="D1" s="175">
        <f>'Date Drivers'!$B$1</f>
        <v>41369</v>
      </c>
      <c r="E1">
        <f>HLOOKUP($D$1,$D$2:$BE$64,63)</f>
        <v>2</v>
      </c>
      <c r="H1" s="1"/>
      <c r="M1" s="90"/>
      <c r="BI1" s="15"/>
      <c r="BJ1" s="15"/>
    </row>
    <row r="2" spans="1:62" ht="12.75">
      <c r="A2" s="119" t="str">
        <f>CONCATENATE(Configurator!$L$6,Configurator!$M$6,Configurator!$N$6,Configurator!$O$6,E1,Configurator!T6)</f>
        <v>LTHJ25</v>
      </c>
      <c r="B2" s="178"/>
      <c r="C2" s="190"/>
      <c r="D2" s="176">
        <v>37306</v>
      </c>
      <c r="E2" s="176">
        <v>37307</v>
      </c>
      <c r="F2" s="176">
        <v>37400</v>
      </c>
      <c r="G2" s="176">
        <v>37480</v>
      </c>
      <c r="H2" s="176">
        <v>37492</v>
      </c>
      <c r="I2" s="176">
        <v>37509</v>
      </c>
      <c r="J2" s="176">
        <v>37510</v>
      </c>
      <c r="K2" s="176">
        <v>37641</v>
      </c>
      <c r="L2" s="176">
        <v>37994</v>
      </c>
      <c r="M2" s="176">
        <v>38063</v>
      </c>
      <c r="N2" s="176">
        <v>38187</v>
      </c>
      <c r="O2" s="176">
        <v>38188</v>
      </c>
      <c r="P2" s="176">
        <v>38264</v>
      </c>
      <c r="Q2" s="176">
        <v>38292</v>
      </c>
      <c r="R2" s="176">
        <v>38404</v>
      </c>
      <c r="S2" s="176">
        <v>38503</v>
      </c>
      <c r="T2" s="176">
        <v>38504</v>
      </c>
      <c r="U2" s="176">
        <v>38665</v>
      </c>
      <c r="V2" s="176">
        <v>38666</v>
      </c>
      <c r="W2" s="176">
        <v>38884</v>
      </c>
      <c r="X2" s="176">
        <v>39006</v>
      </c>
      <c r="Y2" s="176">
        <v>39105</v>
      </c>
      <c r="Z2" s="176">
        <v>39120</v>
      </c>
      <c r="AA2" s="176">
        <v>39121</v>
      </c>
      <c r="AB2" s="176">
        <v>39294</v>
      </c>
      <c r="AC2" s="176">
        <v>39295</v>
      </c>
      <c r="AD2" s="176">
        <v>39405</v>
      </c>
      <c r="AE2" s="176">
        <v>39493</v>
      </c>
      <c r="AF2" s="176">
        <v>39496</v>
      </c>
      <c r="AG2" s="176">
        <v>39604</v>
      </c>
      <c r="AH2" s="176">
        <v>39605</v>
      </c>
      <c r="AI2" s="176">
        <v>39659</v>
      </c>
      <c r="AJ2" s="176">
        <v>39729</v>
      </c>
      <c r="AK2" s="176">
        <v>39847</v>
      </c>
      <c r="AL2" s="176">
        <v>39848</v>
      </c>
      <c r="AM2" s="176">
        <v>39926</v>
      </c>
      <c r="AN2" s="176">
        <v>39927</v>
      </c>
      <c r="AO2" s="176">
        <v>39971</v>
      </c>
      <c r="AP2" s="176">
        <v>40007</v>
      </c>
      <c r="AQ2" s="176">
        <v>40008</v>
      </c>
      <c r="AR2" s="176">
        <v>40009</v>
      </c>
      <c r="AS2" s="176">
        <v>40102</v>
      </c>
      <c r="AT2" s="176">
        <v>40217</v>
      </c>
      <c r="AU2" s="176">
        <v>40253</v>
      </c>
      <c r="AV2" s="272">
        <v>40254</v>
      </c>
      <c r="AW2" s="176">
        <v>40299</v>
      </c>
      <c r="AX2" s="272">
        <v>40311</v>
      </c>
      <c r="AY2" s="176">
        <v>40421</v>
      </c>
      <c r="AZ2" s="272">
        <v>40422</v>
      </c>
      <c r="BA2" s="272">
        <v>40435</v>
      </c>
      <c r="BB2" s="176">
        <v>40438</v>
      </c>
      <c r="BC2" s="272">
        <v>40439</v>
      </c>
      <c r="BD2" s="176">
        <v>40609</v>
      </c>
      <c r="BE2" s="272">
        <v>40610</v>
      </c>
      <c r="BG2" s="257" t="s">
        <v>147</v>
      </c>
      <c r="BH2" s="257"/>
      <c r="BI2" s="15"/>
      <c r="BJ2" s="15"/>
    </row>
    <row r="3" spans="1:62" ht="12.75">
      <c r="A3" s="247">
        <v>1</v>
      </c>
      <c r="B3" s="191" t="str">
        <f>HLOOKUP($D$1,$D$2:$BE$60,2)</f>
        <v>***2*</v>
      </c>
      <c r="C3" s="192" t="str">
        <f>HLOOKUP($D$1,$D$2:$BE$60,32)</f>
        <v>**</v>
      </c>
      <c r="D3" s="258" t="s">
        <v>547</v>
      </c>
      <c r="E3" s="258" t="s">
        <v>541</v>
      </c>
      <c r="F3" s="258" t="s">
        <v>533</v>
      </c>
      <c r="G3" s="258" t="s">
        <v>528</v>
      </c>
      <c r="H3" s="258" t="s">
        <v>528</v>
      </c>
      <c r="I3" s="259" t="s">
        <v>413</v>
      </c>
      <c r="J3" s="259" t="s">
        <v>413</v>
      </c>
      <c r="K3" s="260" t="s">
        <v>388</v>
      </c>
      <c r="L3" s="258" t="s">
        <v>425</v>
      </c>
      <c r="M3" s="261" t="s">
        <v>303</v>
      </c>
      <c r="N3" s="258" t="s">
        <v>339</v>
      </c>
      <c r="O3" s="261" t="s">
        <v>303</v>
      </c>
      <c r="P3" s="258" t="s">
        <v>303</v>
      </c>
      <c r="Q3" s="258" t="s">
        <v>327</v>
      </c>
      <c r="R3" s="258" t="s">
        <v>327</v>
      </c>
      <c r="S3" s="258" t="s">
        <v>1063</v>
      </c>
      <c r="T3" s="258" t="s">
        <v>327</v>
      </c>
      <c r="U3" s="258" t="s">
        <v>327</v>
      </c>
      <c r="V3" s="258" t="s">
        <v>327</v>
      </c>
      <c r="W3" s="258" t="s">
        <v>1058</v>
      </c>
      <c r="X3" s="258" t="s">
        <v>1058</v>
      </c>
      <c r="Y3" s="258" t="s">
        <v>1058</v>
      </c>
      <c r="Z3" s="258" t="s">
        <v>1058</v>
      </c>
      <c r="AA3" s="258" t="s">
        <v>1058</v>
      </c>
      <c r="AB3" s="258" t="s">
        <v>1058</v>
      </c>
      <c r="AC3" s="258" t="s">
        <v>1058</v>
      </c>
      <c r="AD3" s="258" t="s">
        <v>1058</v>
      </c>
      <c r="AE3" s="258" t="s">
        <v>1058</v>
      </c>
      <c r="AF3" s="258" t="s">
        <v>1058</v>
      </c>
      <c r="AG3" s="258" t="s">
        <v>1058</v>
      </c>
      <c r="AH3" s="258" t="s">
        <v>1058</v>
      </c>
      <c r="AI3" s="258" t="s">
        <v>854</v>
      </c>
      <c r="AJ3" s="258" t="s">
        <v>755</v>
      </c>
      <c r="AK3" s="258" t="s">
        <v>1029</v>
      </c>
      <c r="AL3" s="258" t="s">
        <v>537</v>
      </c>
      <c r="AM3" s="258" t="s">
        <v>395</v>
      </c>
      <c r="AN3" s="258" t="s">
        <v>537</v>
      </c>
      <c r="AO3" s="258" t="s">
        <v>537</v>
      </c>
      <c r="AP3" s="258" t="s">
        <v>492</v>
      </c>
      <c r="AQ3" s="258" t="s">
        <v>179</v>
      </c>
      <c r="AR3" s="258" t="s">
        <v>537</v>
      </c>
      <c r="AS3" s="258" t="s">
        <v>537</v>
      </c>
      <c r="AT3" s="258" t="s">
        <v>537</v>
      </c>
      <c r="AU3" s="258" t="s">
        <v>537</v>
      </c>
      <c r="AV3" s="273" t="s">
        <v>537</v>
      </c>
      <c r="AW3" s="258" t="s">
        <v>919</v>
      </c>
      <c r="AX3" s="273" t="s">
        <v>537</v>
      </c>
      <c r="AY3" s="258" t="s">
        <v>537</v>
      </c>
      <c r="AZ3" s="273" t="s">
        <v>537</v>
      </c>
      <c r="BA3" s="273" t="s">
        <v>537</v>
      </c>
      <c r="BB3" s="258" t="s">
        <v>564</v>
      </c>
      <c r="BC3" s="273" t="s">
        <v>537</v>
      </c>
      <c r="BD3" s="258" t="s">
        <v>537</v>
      </c>
      <c r="BE3" s="273" t="s">
        <v>537</v>
      </c>
      <c r="BF3" s="248">
        <v>1</v>
      </c>
      <c r="BG3" s="15"/>
      <c r="BH3" s="15"/>
      <c r="BI3" s="15"/>
      <c r="BJ3" s="15"/>
    </row>
    <row r="4" spans="1:62" ht="12.75">
      <c r="A4" s="247">
        <v>2</v>
      </c>
      <c r="B4" s="193" t="str">
        <f>HLOOKUP($D$1,$D$2:$BE$60,3)</f>
        <v>HNQX22</v>
      </c>
      <c r="C4" s="194" t="str">
        <f>HLOOKUP($D$1,$D$2:$BE$60,33)</f>
        <v>QV</v>
      </c>
      <c r="D4" s="259" t="s">
        <v>548</v>
      </c>
      <c r="E4" s="259" t="s">
        <v>358</v>
      </c>
      <c r="F4" s="259" t="s">
        <v>364</v>
      </c>
      <c r="G4" s="259" t="s">
        <v>370</v>
      </c>
      <c r="H4" s="259" t="s">
        <v>370</v>
      </c>
      <c r="I4" s="259" t="s">
        <v>414</v>
      </c>
      <c r="J4" s="259" t="s">
        <v>414</v>
      </c>
      <c r="K4" s="260" t="s">
        <v>389</v>
      </c>
      <c r="L4" s="259" t="s">
        <v>426</v>
      </c>
      <c r="M4" s="261" t="s">
        <v>309</v>
      </c>
      <c r="N4" s="259" t="s">
        <v>431</v>
      </c>
      <c r="O4" s="261" t="s">
        <v>309</v>
      </c>
      <c r="P4" s="259" t="s">
        <v>309</v>
      </c>
      <c r="Q4" s="259" t="s">
        <v>330</v>
      </c>
      <c r="R4" s="259" t="s">
        <v>330</v>
      </c>
      <c r="S4" s="259" t="s">
        <v>1066</v>
      </c>
      <c r="T4" s="259" t="s">
        <v>330</v>
      </c>
      <c r="U4" s="259" t="s">
        <v>330</v>
      </c>
      <c r="V4" s="259" t="s">
        <v>330</v>
      </c>
      <c r="W4" s="259" t="s">
        <v>1056</v>
      </c>
      <c r="X4" s="259" t="s">
        <v>1056</v>
      </c>
      <c r="Y4" s="259" t="s">
        <v>1056</v>
      </c>
      <c r="Z4" s="259" t="s">
        <v>1056</v>
      </c>
      <c r="AA4" s="259" t="s">
        <v>1056</v>
      </c>
      <c r="AB4" s="259" t="s">
        <v>1056</v>
      </c>
      <c r="AC4" s="259" t="s">
        <v>1056</v>
      </c>
      <c r="AD4" s="259" t="s">
        <v>1056</v>
      </c>
      <c r="AE4" s="259" t="s">
        <v>1056</v>
      </c>
      <c r="AF4" s="259" t="s">
        <v>1056</v>
      </c>
      <c r="AG4" s="259" t="s">
        <v>1056</v>
      </c>
      <c r="AH4" s="259" t="s">
        <v>1056</v>
      </c>
      <c r="AI4" s="259" t="s">
        <v>857</v>
      </c>
      <c r="AJ4" s="259" t="s">
        <v>758</v>
      </c>
      <c r="AK4" s="259" t="s">
        <v>1030</v>
      </c>
      <c r="AL4" s="259" t="s">
        <v>1031</v>
      </c>
      <c r="AM4" s="259" t="s">
        <v>396</v>
      </c>
      <c r="AN4" s="259" t="s">
        <v>397</v>
      </c>
      <c r="AO4" s="259" t="s">
        <v>761</v>
      </c>
      <c r="AP4" s="259" t="s">
        <v>493</v>
      </c>
      <c r="AQ4" s="259" t="s">
        <v>180</v>
      </c>
      <c r="AR4" s="259" t="s">
        <v>397</v>
      </c>
      <c r="AS4" s="259" t="s">
        <v>397</v>
      </c>
      <c r="AT4" s="259" t="s">
        <v>182</v>
      </c>
      <c r="AU4" s="259" t="s">
        <v>182</v>
      </c>
      <c r="AV4" s="95" t="s">
        <v>397</v>
      </c>
      <c r="AW4" s="259" t="s">
        <v>920</v>
      </c>
      <c r="AX4" s="95" t="s">
        <v>397</v>
      </c>
      <c r="AY4" s="259" t="s">
        <v>182</v>
      </c>
      <c r="AZ4" s="95" t="s">
        <v>397</v>
      </c>
      <c r="BA4" s="95" t="s">
        <v>397</v>
      </c>
      <c r="BB4" s="259" t="s">
        <v>565</v>
      </c>
      <c r="BC4" s="259" t="s">
        <v>566</v>
      </c>
      <c r="BD4" s="259" t="s">
        <v>567</v>
      </c>
      <c r="BE4" s="259" t="s">
        <v>158</v>
      </c>
      <c r="BF4" s="248">
        <v>2</v>
      </c>
      <c r="BG4" s="15"/>
      <c r="BH4" s="15"/>
      <c r="BI4" s="15"/>
      <c r="BJ4" s="15"/>
    </row>
    <row r="5" spans="1:62" ht="12.75">
      <c r="A5" s="247">
        <v>3</v>
      </c>
      <c r="B5" s="193" t="str">
        <f>HLOOKUP($D$1,$D$2:$BE$60,4)</f>
        <v>GKNB23</v>
      </c>
      <c r="C5" s="194" t="str">
        <f>HLOOKUP($D$1,$D$2:$BE$60,34)</f>
        <v>RN</v>
      </c>
      <c r="D5" s="259" t="s">
        <v>1073</v>
      </c>
      <c r="E5" s="259" t="s">
        <v>542</v>
      </c>
      <c r="F5" s="259" t="s">
        <v>534</v>
      </c>
      <c r="G5" s="259" t="s">
        <v>529</v>
      </c>
      <c r="H5" s="259" t="s">
        <v>413</v>
      </c>
      <c r="I5" s="259" t="s">
        <v>415</v>
      </c>
      <c r="J5" s="259" t="s">
        <v>415</v>
      </c>
      <c r="K5" s="262" t="s">
        <v>508</v>
      </c>
      <c r="L5" s="259" t="s">
        <v>429</v>
      </c>
      <c r="M5" s="261" t="s">
        <v>315</v>
      </c>
      <c r="N5" s="259" t="s">
        <v>437</v>
      </c>
      <c r="O5" s="261" t="s">
        <v>315</v>
      </c>
      <c r="P5" s="259" t="s">
        <v>315</v>
      </c>
      <c r="Q5" s="259" t="s">
        <v>333</v>
      </c>
      <c r="R5" s="259" t="s">
        <v>333</v>
      </c>
      <c r="S5" s="259" t="s">
        <v>1064</v>
      </c>
      <c r="T5" s="259" t="s">
        <v>333</v>
      </c>
      <c r="U5" s="259" t="s">
        <v>329</v>
      </c>
      <c r="V5" s="259" t="s">
        <v>329</v>
      </c>
      <c r="W5" s="259" t="s">
        <v>1057</v>
      </c>
      <c r="X5" s="259" t="s">
        <v>1057</v>
      </c>
      <c r="Y5" s="259" t="s">
        <v>1057</v>
      </c>
      <c r="Z5" s="259" t="s">
        <v>1057</v>
      </c>
      <c r="AA5" s="259" t="s">
        <v>1057</v>
      </c>
      <c r="AB5" s="259" t="s">
        <v>1057</v>
      </c>
      <c r="AC5" s="259" t="s">
        <v>1057</v>
      </c>
      <c r="AD5" s="259" t="s">
        <v>1057</v>
      </c>
      <c r="AE5" s="259" t="s">
        <v>1057</v>
      </c>
      <c r="AF5" s="259" t="s">
        <v>1057</v>
      </c>
      <c r="AG5" s="259" t="s">
        <v>1057</v>
      </c>
      <c r="AH5" s="259" t="s">
        <v>1057</v>
      </c>
      <c r="AI5" s="259" t="s">
        <v>860</v>
      </c>
      <c r="AJ5" s="259" t="s">
        <v>761</v>
      </c>
      <c r="AK5" s="259" t="s">
        <v>1031</v>
      </c>
      <c r="AL5" s="259" t="s">
        <v>1032</v>
      </c>
      <c r="AM5" s="259" t="s">
        <v>397</v>
      </c>
      <c r="AN5" s="259" t="s">
        <v>398</v>
      </c>
      <c r="AO5" s="259" t="s">
        <v>764</v>
      </c>
      <c r="AP5" s="259" t="s">
        <v>480</v>
      </c>
      <c r="AQ5" s="259" t="s">
        <v>181</v>
      </c>
      <c r="AR5" s="259" t="s">
        <v>398</v>
      </c>
      <c r="AS5" s="259" t="s">
        <v>398</v>
      </c>
      <c r="AT5" s="259" t="s">
        <v>183</v>
      </c>
      <c r="AU5" s="259" t="s">
        <v>183</v>
      </c>
      <c r="AV5" s="95" t="s">
        <v>398</v>
      </c>
      <c r="AW5" s="259" t="s">
        <v>921</v>
      </c>
      <c r="AX5" s="95" t="s">
        <v>398</v>
      </c>
      <c r="AY5" s="259" t="s">
        <v>183</v>
      </c>
      <c r="AZ5" s="95" t="s">
        <v>398</v>
      </c>
      <c r="BA5" s="95" t="s">
        <v>398</v>
      </c>
      <c r="BB5" s="259" t="s">
        <v>566</v>
      </c>
      <c r="BC5" s="259" t="s">
        <v>567</v>
      </c>
      <c r="BD5" s="259" t="s">
        <v>568</v>
      </c>
      <c r="BE5" s="259" t="s">
        <v>567</v>
      </c>
      <c r="BF5" s="248">
        <v>3</v>
      </c>
      <c r="BG5" s="15"/>
      <c r="BH5" s="15"/>
      <c r="BI5" s="15"/>
      <c r="BJ5" s="15"/>
    </row>
    <row r="6" spans="1:62" ht="12.75">
      <c r="A6" s="247">
        <v>4</v>
      </c>
      <c r="B6" s="193" t="str">
        <f>HLOOKUP($D$1,$D$2:$BE$60,5)</f>
        <v>GKNB25</v>
      </c>
      <c r="C6" s="194" t="str">
        <f>HLOOKUP($D$1,$D$2:$BE$60,35)</f>
        <v>RN</v>
      </c>
      <c r="D6" s="259" t="s">
        <v>1073</v>
      </c>
      <c r="E6" s="259" t="s">
        <v>359</v>
      </c>
      <c r="F6" s="259" t="s">
        <v>365</v>
      </c>
      <c r="G6" s="259" t="s">
        <v>371</v>
      </c>
      <c r="H6" s="259" t="s">
        <v>529</v>
      </c>
      <c r="I6" s="259" t="s">
        <v>416</v>
      </c>
      <c r="J6" s="259" t="s">
        <v>416</v>
      </c>
      <c r="K6" s="262" t="s">
        <v>346</v>
      </c>
      <c r="L6" s="259" t="s">
        <v>430</v>
      </c>
      <c r="M6" s="261" t="s">
        <v>304</v>
      </c>
      <c r="N6" s="259" t="s">
        <v>448</v>
      </c>
      <c r="O6" s="261" t="s">
        <v>304</v>
      </c>
      <c r="P6" s="259" t="s">
        <v>327</v>
      </c>
      <c r="Q6" s="259" t="s">
        <v>329</v>
      </c>
      <c r="R6" s="259" t="s">
        <v>329</v>
      </c>
      <c r="S6" s="263" t="s">
        <v>1067</v>
      </c>
      <c r="T6" s="259" t="s">
        <v>329</v>
      </c>
      <c r="U6" s="259" t="s">
        <v>332</v>
      </c>
      <c r="V6" s="259" t="s">
        <v>332</v>
      </c>
      <c r="W6" s="259" t="s">
        <v>1049</v>
      </c>
      <c r="X6" s="259" t="s">
        <v>465</v>
      </c>
      <c r="Y6" s="259" t="s">
        <v>502</v>
      </c>
      <c r="Z6" s="263" t="s">
        <v>723</v>
      </c>
      <c r="AA6" s="259" t="s">
        <v>738</v>
      </c>
      <c r="AB6" s="259" t="s">
        <v>747</v>
      </c>
      <c r="AC6" s="259" t="s">
        <v>747</v>
      </c>
      <c r="AD6" s="259" t="s">
        <v>747</v>
      </c>
      <c r="AE6" s="259" t="s">
        <v>747</v>
      </c>
      <c r="AF6" s="259" t="s">
        <v>747</v>
      </c>
      <c r="AG6" s="259" t="s">
        <v>830</v>
      </c>
      <c r="AH6" s="259" t="s">
        <v>830</v>
      </c>
      <c r="AI6" s="259" t="s">
        <v>863</v>
      </c>
      <c r="AJ6" s="259" t="s">
        <v>764</v>
      </c>
      <c r="AK6" s="259" t="s">
        <v>1032</v>
      </c>
      <c r="AL6" s="259" t="s">
        <v>1033</v>
      </c>
      <c r="AM6" s="259" t="s">
        <v>398</v>
      </c>
      <c r="AN6" s="259" t="s">
        <v>399</v>
      </c>
      <c r="AO6" s="259" t="s">
        <v>767</v>
      </c>
      <c r="AP6" s="259" t="s">
        <v>481</v>
      </c>
      <c r="AQ6" s="259" t="s">
        <v>182</v>
      </c>
      <c r="AR6" s="259" t="s">
        <v>399</v>
      </c>
      <c r="AS6" s="259" t="s">
        <v>399</v>
      </c>
      <c r="AT6" s="259" t="s">
        <v>187</v>
      </c>
      <c r="AU6" s="259" t="s">
        <v>187</v>
      </c>
      <c r="AV6" s="95" t="s">
        <v>399</v>
      </c>
      <c r="AW6" s="259" t="s">
        <v>922</v>
      </c>
      <c r="AX6" s="95" t="s">
        <v>399</v>
      </c>
      <c r="AY6" s="259" t="s">
        <v>187</v>
      </c>
      <c r="AZ6" s="95" t="s">
        <v>399</v>
      </c>
      <c r="BA6" s="95" t="s">
        <v>399</v>
      </c>
      <c r="BB6" s="259" t="s">
        <v>567</v>
      </c>
      <c r="BC6" s="259" t="s">
        <v>568</v>
      </c>
      <c r="BD6" s="259" t="s">
        <v>572</v>
      </c>
      <c r="BE6" s="259" t="s">
        <v>568</v>
      </c>
      <c r="BF6" s="248">
        <v>4</v>
      </c>
      <c r="BG6" s="15"/>
      <c r="BH6" s="15"/>
      <c r="BI6" s="15"/>
      <c r="BJ6" s="15"/>
    </row>
    <row r="7" spans="1:62" ht="12.75">
      <c r="A7" s="247">
        <v>5</v>
      </c>
      <c r="B7" s="193" t="str">
        <f>HLOOKUP($D$1,$D$2:$BE$60,6)</f>
        <v>HOQX22</v>
      </c>
      <c r="C7" s="194" t="str">
        <f>HLOOKUP($D$1,$D$2:$BE$60,36)</f>
        <v>QW</v>
      </c>
      <c r="D7" s="259" t="s">
        <v>1073</v>
      </c>
      <c r="E7" s="259" t="s">
        <v>545</v>
      </c>
      <c r="F7" s="259" t="s">
        <v>539</v>
      </c>
      <c r="G7" s="259" t="s">
        <v>532</v>
      </c>
      <c r="H7" s="259" t="s">
        <v>371</v>
      </c>
      <c r="I7" s="259" t="s">
        <v>417</v>
      </c>
      <c r="J7" s="259" t="s">
        <v>417</v>
      </c>
      <c r="K7" s="262" t="s">
        <v>509</v>
      </c>
      <c r="L7" s="259" t="s">
        <v>427</v>
      </c>
      <c r="M7" s="261" t="s">
        <v>310</v>
      </c>
      <c r="N7" s="259" t="s">
        <v>454</v>
      </c>
      <c r="O7" s="261" t="s">
        <v>310</v>
      </c>
      <c r="P7" s="259" t="s">
        <v>330</v>
      </c>
      <c r="Q7" s="259" t="s">
        <v>332</v>
      </c>
      <c r="R7" s="259" t="s">
        <v>332</v>
      </c>
      <c r="S7" s="264" t="s">
        <v>1065</v>
      </c>
      <c r="T7" s="259" t="s">
        <v>332</v>
      </c>
      <c r="U7" s="259" t="s">
        <v>328</v>
      </c>
      <c r="V7" s="259" t="s">
        <v>328</v>
      </c>
      <c r="W7" s="259" t="s">
        <v>1020</v>
      </c>
      <c r="X7" s="259" t="s">
        <v>468</v>
      </c>
      <c r="Y7" s="259" t="s">
        <v>503</v>
      </c>
      <c r="Z7" s="263" t="s">
        <v>726</v>
      </c>
      <c r="AA7" s="259" t="s">
        <v>741</v>
      </c>
      <c r="AB7" s="259" t="s">
        <v>840</v>
      </c>
      <c r="AC7" s="259" t="s">
        <v>782</v>
      </c>
      <c r="AD7" s="259" t="s">
        <v>794</v>
      </c>
      <c r="AE7" s="259" t="s">
        <v>800</v>
      </c>
      <c r="AF7" s="259" t="s">
        <v>800</v>
      </c>
      <c r="AG7" s="259" t="s">
        <v>833</v>
      </c>
      <c r="AH7" s="259" t="s">
        <v>818</v>
      </c>
      <c r="AI7" s="259" t="s">
        <v>866</v>
      </c>
      <c r="AJ7" s="259" t="s">
        <v>767</v>
      </c>
      <c r="AK7" s="259" t="s">
        <v>1033</v>
      </c>
      <c r="AL7" s="259" t="s">
        <v>1036</v>
      </c>
      <c r="AM7" s="259" t="s">
        <v>399</v>
      </c>
      <c r="AN7" s="259" t="s">
        <v>402</v>
      </c>
      <c r="AO7" s="259" t="s">
        <v>762</v>
      </c>
      <c r="AP7" s="259" t="s">
        <v>482</v>
      </c>
      <c r="AQ7" s="259" t="s">
        <v>183</v>
      </c>
      <c r="AR7" s="259" t="s">
        <v>402</v>
      </c>
      <c r="AS7" s="259" t="s">
        <v>402</v>
      </c>
      <c r="AT7" s="259" t="s">
        <v>188</v>
      </c>
      <c r="AU7" s="259" t="s">
        <v>188</v>
      </c>
      <c r="AV7" s="95" t="s">
        <v>402</v>
      </c>
      <c r="AW7" s="259" t="s">
        <v>923</v>
      </c>
      <c r="AX7" s="95" t="s">
        <v>402</v>
      </c>
      <c r="AY7" s="259" t="s">
        <v>188</v>
      </c>
      <c r="AZ7" s="95" t="s">
        <v>402</v>
      </c>
      <c r="BA7" s="95" t="s">
        <v>402</v>
      </c>
      <c r="BB7" s="259" t="s">
        <v>568</v>
      </c>
      <c r="BC7" s="259" t="s">
        <v>571</v>
      </c>
      <c r="BD7" s="259" t="s">
        <v>573</v>
      </c>
      <c r="BE7" s="259" t="s">
        <v>159</v>
      </c>
      <c r="BF7" s="248">
        <v>5</v>
      </c>
      <c r="BG7" s="15"/>
      <c r="BH7" s="15"/>
      <c r="BI7" s="15"/>
      <c r="BJ7" s="15"/>
    </row>
    <row r="8" spans="1:62" ht="12.75">
      <c r="A8" s="247">
        <v>6</v>
      </c>
      <c r="B8" s="193" t="str">
        <f>HLOOKUP($D$1,$D$2:$BE$60,7)</f>
        <v>GLNB23</v>
      </c>
      <c r="C8" s="194" t="str">
        <f>HLOOKUP($D$1,$D$2:$BE$60,37)</f>
        <v>RP</v>
      </c>
      <c r="D8" s="259" t="s">
        <v>1073</v>
      </c>
      <c r="E8" s="259" t="s">
        <v>362</v>
      </c>
      <c r="F8" s="259" t="s">
        <v>368</v>
      </c>
      <c r="G8" s="259" t="s">
        <v>374</v>
      </c>
      <c r="H8" s="259" t="s">
        <v>414</v>
      </c>
      <c r="I8" s="259" t="s">
        <v>418</v>
      </c>
      <c r="J8" s="259" t="s">
        <v>418</v>
      </c>
      <c r="K8" s="262" t="s">
        <v>347</v>
      </c>
      <c r="L8" s="259" t="s">
        <v>428</v>
      </c>
      <c r="M8" s="261" t="s">
        <v>316</v>
      </c>
      <c r="N8" s="259" t="s">
        <v>340</v>
      </c>
      <c r="O8" s="261" t="s">
        <v>316</v>
      </c>
      <c r="P8" s="259" t="s">
        <v>333</v>
      </c>
      <c r="Q8" s="259" t="s">
        <v>335</v>
      </c>
      <c r="R8" s="259" t="s">
        <v>335</v>
      </c>
      <c r="S8" s="263" t="s">
        <v>1068</v>
      </c>
      <c r="T8" s="259" t="s">
        <v>335</v>
      </c>
      <c r="U8" s="259" t="s">
        <v>331</v>
      </c>
      <c r="V8" s="259" t="s">
        <v>331</v>
      </c>
      <c r="W8" s="259" t="s">
        <v>1023</v>
      </c>
      <c r="X8" s="259" t="s">
        <v>499</v>
      </c>
      <c r="Y8" s="259" t="s">
        <v>504</v>
      </c>
      <c r="Z8" s="263" t="s">
        <v>729</v>
      </c>
      <c r="AA8" s="259" t="s">
        <v>744</v>
      </c>
      <c r="AB8" s="259" t="s">
        <v>843</v>
      </c>
      <c r="AC8" s="259" t="s">
        <v>783</v>
      </c>
      <c r="AD8" s="259" t="s">
        <v>797</v>
      </c>
      <c r="AE8" s="259" t="s">
        <v>807</v>
      </c>
      <c r="AF8" s="259" t="s">
        <v>818</v>
      </c>
      <c r="AG8" s="259" t="s">
        <v>818</v>
      </c>
      <c r="AH8" s="259" t="s">
        <v>821</v>
      </c>
      <c r="AI8" s="259" t="s">
        <v>855</v>
      </c>
      <c r="AJ8" s="259" t="s">
        <v>756</v>
      </c>
      <c r="AK8" s="259" t="s">
        <v>1034</v>
      </c>
      <c r="AL8" s="259" t="s">
        <v>1037</v>
      </c>
      <c r="AM8" s="259" t="s">
        <v>400</v>
      </c>
      <c r="AN8" s="259" t="s">
        <v>403</v>
      </c>
      <c r="AO8" s="259" t="s">
        <v>765</v>
      </c>
      <c r="AP8" s="259" t="s">
        <v>494</v>
      </c>
      <c r="AQ8" s="259" t="s">
        <v>184</v>
      </c>
      <c r="AR8" s="259" t="s">
        <v>403</v>
      </c>
      <c r="AS8" s="259" t="s">
        <v>403</v>
      </c>
      <c r="AT8" s="259" t="s">
        <v>192</v>
      </c>
      <c r="AU8" s="259" t="s">
        <v>192</v>
      </c>
      <c r="AV8" s="95" t="s">
        <v>403</v>
      </c>
      <c r="AW8" s="259" t="s">
        <v>924</v>
      </c>
      <c r="AX8" s="95" t="s">
        <v>403</v>
      </c>
      <c r="AY8" s="259" t="s">
        <v>192</v>
      </c>
      <c r="AZ8" s="95" t="s">
        <v>403</v>
      </c>
      <c r="BA8" s="95" t="s">
        <v>403</v>
      </c>
      <c r="BB8" s="259" t="s">
        <v>569</v>
      </c>
      <c r="BC8" s="259" t="s">
        <v>572</v>
      </c>
      <c r="BD8" s="259" t="s">
        <v>577</v>
      </c>
      <c r="BE8" s="259" t="s">
        <v>572</v>
      </c>
      <c r="BF8" s="248">
        <v>6</v>
      </c>
      <c r="BG8" s="15"/>
      <c r="BH8" s="15"/>
      <c r="BI8" s="15"/>
      <c r="BJ8" s="15"/>
    </row>
    <row r="9" spans="1:62" ht="12.75">
      <c r="A9" s="247">
        <v>7</v>
      </c>
      <c r="B9" s="193" t="str">
        <f>HLOOKUP($D$1,$D$2:$BE$60,8)</f>
        <v>GLNB25</v>
      </c>
      <c r="C9" s="194" t="str">
        <f>HLOOKUP($D$1,$D$2:$BE$60,38)</f>
        <v>RP</v>
      </c>
      <c r="D9" s="259" t="s">
        <v>1073</v>
      </c>
      <c r="E9" s="259" t="s">
        <v>546</v>
      </c>
      <c r="F9" s="259" t="s">
        <v>540</v>
      </c>
      <c r="G9" s="259" t="s">
        <v>527</v>
      </c>
      <c r="H9" s="259" t="s">
        <v>532</v>
      </c>
      <c r="I9" s="261" t="s">
        <v>521</v>
      </c>
      <c r="J9" s="259" t="s">
        <v>516</v>
      </c>
      <c r="K9" s="260" t="s">
        <v>392</v>
      </c>
      <c r="L9" s="259" t="s">
        <v>303</v>
      </c>
      <c r="M9" s="261" t="s">
        <v>307</v>
      </c>
      <c r="N9" s="259" t="s">
        <v>432</v>
      </c>
      <c r="O9" s="265" t="s">
        <v>307</v>
      </c>
      <c r="P9" s="259" t="s">
        <v>307</v>
      </c>
      <c r="Q9" s="259" t="s">
        <v>328</v>
      </c>
      <c r="R9" s="259" t="s">
        <v>328</v>
      </c>
      <c r="S9" s="259" t="s">
        <v>1073</v>
      </c>
      <c r="T9" s="259" t="s">
        <v>328</v>
      </c>
      <c r="U9" s="259" t="s">
        <v>1055</v>
      </c>
      <c r="V9" s="259" t="s">
        <v>981</v>
      </c>
      <c r="W9" s="259" t="s">
        <v>1026</v>
      </c>
      <c r="X9" s="259" t="s">
        <v>502</v>
      </c>
      <c r="Y9" s="259" t="s">
        <v>705</v>
      </c>
      <c r="Z9" s="259" t="s">
        <v>732</v>
      </c>
      <c r="AA9" s="259" t="s">
        <v>747</v>
      </c>
      <c r="AB9" s="259" t="s">
        <v>846</v>
      </c>
      <c r="AC9" s="259" t="s">
        <v>784</v>
      </c>
      <c r="AD9" s="259" t="s">
        <v>800</v>
      </c>
      <c r="AE9" s="259" t="s">
        <v>810</v>
      </c>
      <c r="AF9" s="259" t="s">
        <v>821</v>
      </c>
      <c r="AG9" s="259" t="s">
        <v>821</v>
      </c>
      <c r="AH9" s="259" t="s">
        <v>836</v>
      </c>
      <c r="AI9" s="259" t="s">
        <v>858</v>
      </c>
      <c r="AJ9" s="259" t="s">
        <v>759</v>
      </c>
      <c r="AK9" s="259" t="s">
        <v>1035</v>
      </c>
      <c r="AL9" s="259" t="s">
        <v>1038</v>
      </c>
      <c r="AM9" s="259" t="s">
        <v>401</v>
      </c>
      <c r="AN9" s="259" t="s">
        <v>404</v>
      </c>
      <c r="AO9" s="259" t="s">
        <v>768</v>
      </c>
      <c r="AP9" s="259" t="s">
        <v>495</v>
      </c>
      <c r="AQ9" s="259" t="s">
        <v>185</v>
      </c>
      <c r="AR9" s="259" t="s">
        <v>404</v>
      </c>
      <c r="AS9" s="259" t="s">
        <v>404</v>
      </c>
      <c r="AT9" s="259" t="s">
        <v>193</v>
      </c>
      <c r="AU9" s="259" t="s">
        <v>193</v>
      </c>
      <c r="AV9" s="95" t="s">
        <v>404</v>
      </c>
      <c r="AW9" s="259" t="s">
        <v>925</v>
      </c>
      <c r="AX9" s="95" t="s">
        <v>404</v>
      </c>
      <c r="AY9" s="259" t="s">
        <v>193</v>
      </c>
      <c r="AZ9" s="95" t="s">
        <v>404</v>
      </c>
      <c r="BA9" s="95" t="s">
        <v>404</v>
      </c>
      <c r="BB9" s="259" t="s">
        <v>570</v>
      </c>
      <c r="BC9" s="259" t="s">
        <v>573</v>
      </c>
      <c r="BD9" s="259" t="s">
        <v>578</v>
      </c>
      <c r="BE9" s="259" t="s">
        <v>573</v>
      </c>
      <c r="BF9" s="248">
        <v>7</v>
      </c>
      <c r="BG9" s="15"/>
      <c r="BH9" s="15"/>
      <c r="BI9" s="15"/>
      <c r="BJ9" s="15"/>
    </row>
    <row r="10" spans="1:62" ht="12.75">
      <c r="A10" s="247">
        <v>8</v>
      </c>
      <c r="B10" s="193" t="str">
        <f>HLOOKUP($D$1,$D$2:$BE$60,9)</f>
        <v>HPQX22</v>
      </c>
      <c r="C10" s="194" t="str">
        <f>HLOOKUP($D$1,$D$2:$BE$60,39)</f>
        <v>QX</v>
      </c>
      <c r="D10" s="259" t="s">
        <v>1073</v>
      </c>
      <c r="E10" s="259" t="s">
        <v>363</v>
      </c>
      <c r="F10" s="259" t="s">
        <v>369</v>
      </c>
      <c r="G10" s="259" t="s">
        <v>375</v>
      </c>
      <c r="H10" s="259" t="s">
        <v>374</v>
      </c>
      <c r="I10" s="266" t="s">
        <v>376</v>
      </c>
      <c r="J10" s="259" t="s">
        <v>382</v>
      </c>
      <c r="K10" s="260" t="s">
        <v>393</v>
      </c>
      <c r="L10" s="259" t="s">
        <v>309</v>
      </c>
      <c r="M10" s="261" t="s">
        <v>313</v>
      </c>
      <c r="N10" s="259" t="s">
        <v>438</v>
      </c>
      <c r="O10" s="261" t="s">
        <v>313</v>
      </c>
      <c r="P10" s="259" t="s">
        <v>313</v>
      </c>
      <c r="Q10" s="259" t="s">
        <v>331</v>
      </c>
      <c r="R10" s="259" t="s">
        <v>331</v>
      </c>
      <c r="S10" s="259" t="s">
        <v>1073</v>
      </c>
      <c r="T10" s="259" t="s">
        <v>331</v>
      </c>
      <c r="U10" s="259" t="s">
        <v>981</v>
      </c>
      <c r="V10" s="259" t="s">
        <v>984</v>
      </c>
      <c r="W10" s="259" t="s">
        <v>1050</v>
      </c>
      <c r="X10" s="259" t="s">
        <v>466</v>
      </c>
      <c r="Y10" s="259" t="s">
        <v>711</v>
      </c>
      <c r="Z10" s="263" t="s">
        <v>724</v>
      </c>
      <c r="AA10" s="259" t="s">
        <v>739</v>
      </c>
      <c r="AB10" s="259" t="s">
        <v>748</v>
      </c>
      <c r="AC10" s="259" t="s">
        <v>748</v>
      </c>
      <c r="AD10" s="259" t="s">
        <v>748</v>
      </c>
      <c r="AE10" s="259" t="s">
        <v>748</v>
      </c>
      <c r="AF10" s="259" t="s">
        <v>748</v>
      </c>
      <c r="AG10" s="259" t="s">
        <v>831</v>
      </c>
      <c r="AH10" s="259" t="s">
        <v>831</v>
      </c>
      <c r="AI10" s="259" t="s">
        <v>861</v>
      </c>
      <c r="AJ10" s="259" t="s">
        <v>762</v>
      </c>
      <c r="AK10" s="259" t="s">
        <v>1036</v>
      </c>
      <c r="AL10" s="259" t="s">
        <v>1041</v>
      </c>
      <c r="AM10" s="259" t="s">
        <v>402</v>
      </c>
      <c r="AN10" s="259" t="s">
        <v>407</v>
      </c>
      <c r="AO10" s="259" t="s">
        <v>763</v>
      </c>
      <c r="AP10" s="259" t="s">
        <v>483</v>
      </c>
      <c r="AQ10" s="259" t="s">
        <v>186</v>
      </c>
      <c r="AR10" s="259" t="s">
        <v>407</v>
      </c>
      <c r="AS10" s="259" t="s">
        <v>407</v>
      </c>
      <c r="AT10" s="259" t="s">
        <v>149</v>
      </c>
      <c r="AU10" s="259" t="s">
        <v>1108</v>
      </c>
      <c r="AV10" s="95" t="s">
        <v>407</v>
      </c>
      <c r="AW10" s="259" t="s">
        <v>926</v>
      </c>
      <c r="AX10" s="95" t="s">
        <v>407</v>
      </c>
      <c r="AY10" s="259" t="s">
        <v>469</v>
      </c>
      <c r="AZ10" s="95" t="s">
        <v>407</v>
      </c>
      <c r="BA10" s="95" t="s">
        <v>407</v>
      </c>
      <c r="BB10" s="259" t="s">
        <v>571</v>
      </c>
      <c r="BC10" s="259" t="s">
        <v>576</v>
      </c>
      <c r="BD10" s="259" t="s">
        <v>128</v>
      </c>
      <c r="BE10" s="259" t="s">
        <v>160</v>
      </c>
      <c r="BF10" s="248">
        <v>8</v>
      </c>
      <c r="BG10" s="15"/>
      <c r="BH10" s="15"/>
      <c r="BI10" s="15"/>
      <c r="BJ10" s="15"/>
    </row>
    <row r="11" spans="1:62" ht="12.75">
      <c r="A11" s="247">
        <v>9</v>
      </c>
      <c r="B11" s="193" t="str">
        <f>HLOOKUP($D$1,$D$2:$BE$60,10)</f>
        <v>GMNB23</v>
      </c>
      <c r="C11" s="194" t="str">
        <f>HLOOKUP($D$1,$D$2:$BE$60,40)</f>
        <v>RQ</v>
      </c>
      <c r="D11" s="259" t="s">
        <v>1073</v>
      </c>
      <c r="E11" s="259" t="s">
        <v>543</v>
      </c>
      <c r="F11" s="259" t="s">
        <v>535</v>
      </c>
      <c r="G11" s="259" t="s">
        <v>530</v>
      </c>
      <c r="H11" s="259" t="s">
        <v>415</v>
      </c>
      <c r="I11" s="261" t="s">
        <v>522</v>
      </c>
      <c r="J11" s="259" t="s">
        <v>517</v>
      </c>
      <c r="K11" s="262" t="s">
        <v>512</v>
      </c>
      <c r="L11" s="259" t="s">
        <v>304</v>
      </c>
      <c r="M11" s="261" t="s">
        <v>319</v>
      </c>
      <c r="N11" s="259" t="s">
        <v>443</v>
      </c>
      <c r="O11" s="261" t="s">
        <v>319</v>
      </c>
      <c r="P11" s="259" t="s">
        <v>319</v>
      </c>
      <c r="Q11" s="259" t="s">
        <v>334</v>
      </c>
      <c r="R11" s="259" t="s">
        <v>334</v>
      </c>
      <c r="S11" s="259" t="s">
        <v>1073</v>
      </c>
      <c r="T11" s="259" t="s">
        <v>334</v>
      </c>
      <c r="U11" s="259" t="s">
        <v>984</v>
      </c>
      <c r="V11" s="259" t="s">
        <v>1058</v>
      </c>
      <c r="W11" s="259" t="s">
        <v>1021</v>
      </c>
      <c r="X11" s="259" t="s">
        <v>478</v>
      </c>
      <c r="Y11" s="259" t="s">
        <v>717</v>
      </c>
      <c r="Z11" s="263" t="s">
        <v>727</v>
      </c>
      <c r="AA11" s="259" t="s">
        <v>742</v>
      </c>
      <c r="AB11" s="259" t="s">
        <v>841</v>
      </c>
      <c r="AC11" s="259" t="s">
        <v>789</v>
      </c>
      <c r="AD11" s="259" t="s">
        <v>795</v>
      </c>
      <c r="AE11" s="259" t="s">
        <v>801</v>
      </c>
      <c r="AF11" s="259" t="s">
        <v>801</v>
      </c>
      <c r="AG11" s="259" t="s">
        <v>834</v>
      </c>
      <c r="AH11" s="259" t="s">
        <v>819</v>
      </c>
      <c r="AI11" s="259" t="s">
        <v>864</v>
      </c>
      <c r="AJ11" s="259" t="s">
        <v>765</v>
      </c>
      <c r="AK11" s="259" t="s">
        <v>1037</v>
      </c>
      <c r="AL11" s="259" t="s">
        <v>1042</v>
      </c>
      <c r="AM11" s="259" t="s">
        <v>403</v>
      </c>
      <c r="AN11" s="259" t="s">
        <v>408</v>
      </c>
      <c r="AO11" s="259" t="s">
        <v>766</v>
      </c>
      <c r="AP11" s="259" t="s">
        <v>484</v>
      </c>
      <c r="AQ11" s="259" t="s">
        <v>187</v>
      </c>
      <c r="AR11" s="259" t="s">
        <v>408</v>
      </c>
      <c r="AS11" s="259" t="s">
        <v>408</v>
      </c>
      <c r="AT11" s="259" t="s">
        <v>150</v>
      </c>
      <c r="AU11" s="259" t="s">
        <v>1109</v>
      </c>
      <c r="AV11" s="95" t="s">
        <v>408</v>
      </c>
      <c r="AW11" s="259" t="s">
        <v>927</v>
      </c>
      <c r="AX11" s="95" t="s">
        <v>408</v>
      </c>
      <c r="AY11" s="259" t="s">
        <v>470</v>
      </c>
      <c r="AZ11" s="95" t="s">
        <v>408</v>
      </c>
      <c r="BA11" s="95" t="s">
        <v>408</v>
      </c>
      <c r="BB11" s="259" t="s">
        <v>572</v>
      </c>
      <c r="BC11" s="259" t="s">
        <v>577</v>
      </c>
      <c r="BD11" s="259" t="s">
        <v>129</v>
      </c>
      <c r="BE11" s="259" t="s">
        <v>577</v>
      </c>
      <c r="BF11" s="248">
        <v>9</v>
      </c>
      <c r="BG11" s="15"/>
      <c r="BH11" s="15"/>
      <c r="BI11" s="15"/>
      <c r="BJ11" s="15"/>
    </row>
    <row r="12" spans="1:62" ht="12.75">
      <c r="A12" s="247">
        <v>10</v>
      </c>
      <c r="B12" s="193" t="str">
        <f>HLOOKUP($D$1,$D$2:$BE$60,11)</f>
        <v>GMNB25</v>
      </c>
      <c r="C12" s="194" t="str">
        <f>HLOOKUP($D$1,$D$2:$BE$60,41)</f>
        <v>RQ</v>
      </c>
      <c r="D12" s="259" t="s">
        <v>1073</v>
      </c>
      <c r="E12" s="259" t="s">
        <v>360</v>
      </c>
      <c r="F12" s="259" t="s">
        <v>366</v>
      </c>
      <c r="G12" s="259" t="s">
        <v>372</v>
      </c>
      <c r="H12" s="259" t="s">
        <v>527</v>
      </c>
      <c r="I12" s="266" t="s">
        <v>377</v>
      </c>
      <c r="J12" s="259" t="s">
        <v>383</v>
      </c>
      <c r="K12" s="262" t="s">
        <v>350</v>
      </c>
      <c r="L12" s="259" t="s">
        <v>310</v>
      </c>
      <c r="M12" s="261" t="s">
        <v>308</v>
      </c>
      <c r="N12" s="259" t="s">
        <v>449</v>
      </c>
      <c r="O12" s="261" t="s">
        <v>308</v>
      </c>
      <c r="P12" s="259" t="s">
        <v>329</v>
      </c>
      <c r="Q12" s="259" t="s">
        <v>321</v>
      </c>
      <c r="R12" s="259" t="s">
        <v>981</v>
      </c>
      <c r="S12" s="259" t="s">
        <v>1073</v>
      </c>
      <c r="T12" s="259" t="s">
        <v>981</v>
      </c>
      <c r="U12" s="259" t="s">
        <v>1053</v>
      </c>
      <c r="V12" s="259" t="s">
        <v>983</v>
      </c>
      <c r="W12" s="259" t="s">
        <v>1024</v>
      </c>
      <c r="X12" s="259" t="s">
        <v>500</v>
      </c>
      <c r="Y12" s="259" t="s">
        <v>709</v>
      </c>
      <c r="Z12" s="263" t="s">
        <v>730</v>
      </c>
      <c r="AA12" s="259" t="s">
        <v>745</v>
      </c>
      <c r="AB12" s="259" t="s">
        <v>844</v>
      </c>
      <c r="AC12" s="259" t="s">
        <v>785</v>
      </c>
      <c r="AD12" s="259" t="s">
        <v>798</v>
      </c>
      <c r="AE12" s="259" t="s">
        <v>808</v>
      </c>
      <c r="AF12" s="259" t="s">
        <v>819</v>
      </c>
      <c r="AG12" s="259" t="s">
        <v>819</v>
      </c>
      <c r="AH12" s="259" t="s">
        <v>822</v>
      </c>
      <c r="AI12" s="259" t="s">
        <v>867</v>
      </c>
      <c r="AJ12" s="259" t="s">
        <v>768</v>
      </c>
      <c r="AK12" s="259" t="s">
        <v>1038</v>
      </c>
      <c r="AL12" s="259" t="s">
        <v>1043</v>
      </c>
      <c r="AM12" s="259" t="s">
        <v>404</v>
      </c>
      <c r="AN12" s="259" t="s">
        <v>409</v>
      </c>
      <c r="AO12" s="259" t="s">
        <v>769</v>
      </c>
      <c r="AP12" s="259" t="s">
        <v>485</v>
      </c>
      <c r="AQ12" s="259" t="s">
        <v>188</v>
      </c>
      <c r="AR12" s="259" t="s">
        <v>409</v>
      </c>
      <c r="AS12" s="259" t="s">
        <v>409</v>
      </c>
      <c r="AT12" s="259" t="s">
        <v>158</v>
      </c>
      <c r="AU12" s="259" t="s">
        <v>158</v>
      </c>
      <c r="AV12" s="95" t="s">
        <v>409</v>
      </c>
      <c r="AW12" s="259" t="s">
        <v>928</v>
      </c>
      <c r="AX12" s="95" t="s">
        <v>409</v>
      </c>
      <c r="AY12" s="259" t="s">
        <v>158</v>
      </c>
      <c r="AZ12" s="95" t="s">
        <v>409</v>
      </c>
      <c r="BA12" s="95" t="s">
        <v>409</v>
      </c>
      <c r="BB12" s="259" t="s">
        <v>573</v>
      </c>
      <c r="BC12" s="259" t="s">
        <v>578</v>
      </c>
      <c r="BD12" s="259" t="s">
        <v>158</v>
      </c>
      <c r="BE12" s="259" t="s">
        <v>578</v>
      </c>
      <c r="BF12" s="248">
        <v>10</v>
      </c>
      <c r="BG12" s="15"/>
      <c r="BH12" s="15"/>
      <c r="BI12" s="15"/>
      <c r="BJ12" s="15"/>
    </row>
    <row r="13" spans="1:62" ht="12.75">
      <c r="A13" s="247">
        <v>11</v>
      </c>
      <c r="B13" s="193" t="str">
        <f>HLOOKUP($D$1,$D$2:$BE$60,12)</f>
        <v>ING 20</v>
      </c>
      <c r="C13" s="194" t="str">
        <f>HLOOKUP($D$1,$D$2:$BE$60,42)</f>
        <v>RU</v>
      </c>
      <c r="D13" s="259" t="s">
        <v>1073</v>
      </c>
      <c r="E13" s="259" t="s">
        <v>544</v>
      </c>
      <c r="F13" s="259" t="s">
        <v>538</v>
      </c>
      <c r="G13" s="259" t="s">
        <v>531</v>
      </c>
      <c r="H13" s="259" t="s">
        <v>375</v>
      </c>
      <c r="I13" s="261" t="s">
        <v>525</v>
      </c>
      <c r="J13" s="259" t="s">
        <v>515</v>
      </c>
      <c r="K13" s="262" t="s">
        <v>513</v>
      </c>
      <c r="L13" s="259" t="s">
        <v>419</v>
      </c>
      <c r="M13" s="261" t="s">
        <v>314</v>
      </c>
      <c r="N13" s="259" t="s">
        <v>343</v>
      </c>
      <c r="O13" s="261" t="s">
        <v>314</v>
      </c>
      <c r="P13" s="259" t="s">
        <v>332</v>
      </c>
      <c r="Q13" s="259" t="s">
        <v>324</v>
      </c>
      <c r="R13" s="259" t="s">
        <v>984</v>
      </c>
      <c r="S13" s="259" t="s">
        <v>1073</v>
      </c>
      <c r="T13" s="259" t="s">
        <v>984</v>
      </c>
      <c r="U13" s="259" t="s">
        <v>983</v>
      </c>
      <c r="V13" s="259" t="s">
        <v>986</v>
      </c>
      <c r="W13" s="259" t="s">
        <v>1027</v>
      </c>
      <c r="X13" s="259" t="s">
        <v>503</v>
      </c>
      <c r="Y13" s="259" t="s">
        <v>712</v>
      </c>
      <c r="Z13" s="259" t="s">
        <v>733</v>
      </c>
      <c r="AA13" s="259" t="s">
        <v>748</v>
      </c>
      <c r="AB13" s="259" t="s">
        <v>847</v>
      </c>
      <c r="AC13" s="259" t="s">
        <v>787</v>
      </c>
      <c r="AD13" s="259" t="s">
        <v>801</v>
      </c>
      <c r="AE13" s="259" t="s">
        <v>811</v>
      </c>
      <c r="AF13" s="259" t="s">
        <v>822</v>
      </c>
      <c r="AG13" s="259" t="s">
        <v>822</v>
      </c>
      <c r="AH13" s="259" t="s">
        <v>837</v>
      </c>
      <c r="AI13" s="259" t="s">
        <v>856</v>
      </c>
      <c r="AJ13" s="259" t="s">
        <v>757</v>
      </c>
      <c r="AK13" s="259" t="s">
        <v>1039</v>
      </c>
      <c r="AL13" s="259" t="s">
        <v>162</v>
      </c>
      <c r="AM13" s="259" t="s">
        <v>405</v>
      </c>
      <c r="AN13" s="259" t="s">
        <v>162</v>
      </c>
      <c r="AO13" s="259" t="s">
        <v>1002</v>
      </c>
      <c r="AP13" s="259" t="s">
        <v>496</v>
      </c>
      <c r="AQ13" s="259" t="s">
        <v>189</v>
      </c>
      <c r="AR13" s="259" t="s">
        <v>162</v>
      </c>
      <c r="AS13" s="259" t="s">
        <v>162</v>
      </c>
      <c r="AT13" s="259" t="s">
        <v>151</v>
      </c>
      <c r="AU13" s="259" t="s">
        <v>1110</v>
      </c>
      <c r="AV13" s="274" t="s">
        <v>1099</v>
      </c>
      <c r="AW13" s="259" t="s">
        <v>929</v>
      </c>
      <c r="AX13" s="274" t="s">
        <v>1190</v>
      </c>
      <c r="AY13" s="259" t="s">
        <v>471</v>
      </c>
      <c r="AZ13" s="274" t="s">
        <v>1190</v>
      </c>
      <c r="BA13" s="274" t="s">
        <v>938</v>
      </c>
      <c r="BB13" s="259" t="s">
        <v>574</v>
      </c>
      <c r="BC13" s="274" t="s">
        <v>938</v>
      </c>
      <c r="BD13" s="259" t="s">
        <v>130</v>
      </c>
      <c r="BE13" s="274" t="s">
        <v>138</v>
      </c>
      <c r="BF13" s="248">
        <v>11</v>
      </c>
      <c r="BG13" s="15"/>
      <c r="BH13" s="15"/>
      <c r="BI13" s="15"/>
      <c r="BJ13" s="15"/>
    </row>
    <row r="14" spans="1:62" ht="12.75">
      <c r="A14" s="247">
        <v>12</v>
      </c>
      <c r="B14" s="193" t="str">
        <f>HLOOKUP($D$1,$D$2:$BE$60,13)</f>
        <v>ING 21</v>
      </c>
      <c r="C14" s="194" t="str">
        <f>HLOOKUP($D$1,$D$2:$BE$60,43)</f>
        <v>RU</v>
      </c>
      <c r="D14" s="259" t="s">
        <v>1073</v>
      </c>
      <c r="E14" s="259" t="s">
        <v>361</v>
      </c>
      <c r="F14" s="259" t="s">
        <v>367</v>
      </c>
      <c r="G14" s="259" t="s">
        <v>373</v>
      </c>
      <c r="H14" s="259" t="s">
        <v>416</v>
      </c>
      <c r="I14" s="266" t="s">
        <v>380</v>
      </c>
      <c r="J14" s="259" t="s">
        <v>386</v>
      </c>
      <c r="K14" s="262" t="s">
        <v>351</v>
      </c>
      <c r="L14" s="259" t="s">
        <v>420</v>
      </c>
      <c r="M14" s="261" t="s">
        <v>320</v>
      </c>
      <c r="N14" s="259" t="s">
        <v>435</v>
      </c>
      <c r="O14" s="261" t="s">
        <v>320</v>
      </c>
      <c r="P14" s="259" t="s">
        <v>335</v>
      </c>
      <c r="Q14" s="259" t="s">
        <v>323</v>
      </c>
      <c r="R14" s="259" t="s">
        <v>983</v>
      </c>
      <c r="S14" s="259" t="s">
        <v>1073</v>
      </c>
      <c r="T14" s="259" t="s">
        <v>983</v>
      </c>
      <c r="U14" s="259" t="s">
        <v>986</v>
      </c>
      <c r="V14" s="259" t="s">
        <v>1056</v>
      </c>
      <c r="W14" s="259" t="s">
        <v>1051</v>
      </c>
      <c r="X14" s="259" t="s">
        <v>467</v>
      </c>
      <c r="Y14" s="259" t="s">
        <v>718</v>
      </c>
      <c r="Z14" s="263" t="s">
        <v>725</v>
      </c>
      <c r="AA14" s="259" t="s">
        <v>740</v>
      </c>
      <c r="AB14" s="259" t="s">
        <v>749</v>
      </c>
      <c r="AC14" s="259" t="s">
        <v>749</v>
      </c>
      <c r="AD14" s="259" t="s">
        <v>749</v>
      </c>
      <c r="AE14" s="259" t="s">
        <v>749</v>
      </c>
      <c r="AF14" s="259" t="s">
        <v>749</v>
      </c>
      <c r="AG14" s="259" t="s">
        <v>832</v>
      </c>
      <c r="AH14" s="259" t="s">
        <v>832</v>
      </c>
      <c r="AI14" s="259" t="s">
        <v>859</v>
      </c>
      <c r="AJ14" s="259" t="s">
        <v>760</v>
      </c>
      <c r="AK14" s="259" t="s">
        <v>1040</v>
      </c>
      <c r="AL14" s="259" t="s">
        <v>163</v>
      </c>
      <c r="AM14" s="259" t="s">
        <v>406</v>
      </c>
      <c r="AN14" s="259" t="s">
        <v>163</v>
      </c>
      <c r="AO14" s="259" t="s">
        <v>1003</v>
      </c>
      <c r="AP14" s="259" t="s">
        <v>497</v>
      </c>
      <c r="AQ14" s="259" t="s">
        <v>190</v>
      </c>
      <c r="AR14" s="259" t="s">
        <v>163</v>
      </c>
      <c r="AS14" s="259" t="s">
        <v>163</v>
      </c>
      <c r="AT14" s="259" t="s">
        <v>152</v>
      </c>
      <c r="AU14" s="259" t="s">
        <v>1111</v>
      </c>
      <c r="AV14" s="274" t="s">
        <v>1100</v>
      </c>
      <c r="AW14" s="259" t="s">
        <v>930</v>
      </c>
      <c r="AX14" s="274" t="s">
        <v>1191</v>
      </c>
      <c r="AY14" s="259" t="s">
        <v>472</v>
      </c>
      <c r="AZ14" s="274" t="s">
        <v>1191</v>
      </c>
      <c r="BA14" s="274" t="s">
        <v>939</v>
      </c>
      <c r="BB14" s="259" t="s">
        <v>575</v>
      </c>
      <c r="BC14" s="274" t="s">
        <v>939</v>
      </c>
      <c r="BD14" s="259" t="s">
        <v>131</v>
      </c>
      <c r="BE14" s="274" t="s">
        <v>139</v>
      </c>
      <c r="BF14" s="248">
        <v>12</v>
      </c>
      <c r="BG14" s="15"/>
      <c r="BH14" s="15"/>
      <c r="BI14" s="15"/>
      <c r="BJ14" s="15"/>
    </row>
    <row r="15" spans="1:62" ht="12.75">
      <c r="A15" s="247">
        <v>13</v>
      </c>
      <c r="B15" s="193" t="str">
        <f>HLOOKUP($D$1,$D$2:$BE$60,14)</f>
        <v>INQ 24</v>
      </c>
      <c r="C15" s="194" t="str">
        <f>HLOOKUP($D$1,$D$2:$BE$60,44)</f>
        <v>RK</v>
      </c>
      <c r="D15" s="259" t="s">
        <v>1073</v>
      </c>
      <c r="E15" s="267" t="s">
        <v>1073</v>
      </c>
      <c r="F15" s="267" t="s">
        <v>1073</v>
      </c>
      <c r="G15" s="267" t="s">
        <v>1073</v>
      </c>
      <c r="H15" s="259" t="s">
        <v>530</v>
      </c>
      <c r="I15" s="261" t="s">
        <v>526</v>
      </c>
      <c r="J15" s="259" t="s">
        <v>514</v>
      </c>
      <c r="K15" s="268" t="s">
        <v>390</v>
      </c>
      <c r="L15" s="259" t="s">
        <v>307</v>
      </c>
      <c r="M15" s="261" t="s">
        <v>305</v>
      </c>
      <c r="N15" s="259" t="s">
        <v>441</v>
      </c>
      <c r="O15" s="265" t="s">
        <v>305</v>
      </c>
      <c r="P15" s="259" t="s">
        <v>305</v>
      </c>
      <c r="Q15" s="259" t="s">
        <v>326</v>
      </c>
      <c r="R15" s="259" t="s">
        <v>986</v>
      </c>
      <c r="S15" s="259" t="s">
        <v>1073</v>
      </c>
      <c r="T15" s="259" t="s">
        <v>986</v>
      </c>
      <c r="U15" s="259" t="s">
        <v>1054</v>
      </c>
      <c r="V15" s="259" t="s">
        <v>982</v>
      </c>
      <c r="W15" s="259" t="s">
        <v>1022</v>
      </c>
      <c r="X15" s="259" t="s">
        <v>498</v>
      </c>
      <c r="Y15" s="259" t="s">
        <v>710</v>
      </c>
      <c r="Z15" s="263" t="s">
        <v>728</v>
      </c>
      <c r="AA15" s="259" t="s">
        <v>743</v>
      </c>
      <c r="AB15" s="259" t="s">
        <v>842</v>
      </c>
      <c r="AC15" s="259" t="s">
        <v>790</v>
      </c>
      <c r="AD15" s="259" t="s">
        <v>796</v>
      </c>
      <c r="AE15" s="259" t="s">
        <v>802</v>
      </c>
      <c r="AF15" s="259" t="s">
        <v>802</v>
      </c>
      <c r="AG15" s="259" t="s">
        <v>835</v>
      </c>
      <c r="AH15" s="259" t="s">
        <v>820</v>
      </c>
      <c r="AI15" s="259" t="s">
        <v>862</v>
      </c>
      <c r="AJ15" s="259" t="s">
        <v>763</v>
      </c>
      <c r="AK15" s="259" t="s">
        <v>1041</v>
      </c>
      <c r="AL15" s="259" t="s">
        <v>164</v>
      </c>
      <c r="AM15" s="259" t="s">
        <v>407</v>
      </c>
      <c r="AN15" s="259" t="s">
        <v>164</v>
      </c>
      <c r="AO15" s="259" t="s">
        <v>1004</v>
      </c>
      <c r="AP15" s="259" t="s">
        <v>486</v>
      </c>
      <c r="AQ15" s="259" t="s">
        <v>191</v>
      </c>
      <c r="AR15" s="259" t="s">
        <v>164</v>
      </c>
      <c r="AS15" s="95" t="s">
        <v>886</v>
      </c>
      <c r="AT15" s="259" t="s">
        <v>159</v>
      </c>
      <c r="AU15" s="259" t="s">
        <v>159</v>
      </c>
      <c r="AV15" s="274" t="s">
        <v>1163</v>
      </c>
      <c r="AW15" s="259" t="s">
        <v>931</v>
      </c>
      <c r="AX15" s="274" t="s">
        <v>1192</v>
      </c>
      <c r="AY15" s="259" t="s">
        <v>159</v>
      </c>
      <c r="AZ15" s="274" t="s">
        <v>1192</v>
      </c>
      <c r="BA15" s="274" t="s">
        <v>940</v>
      </c>
      <c r="BB15" s="259" t="s">
        <v>576</v>
      </c>
      <c r="BC15" s="274" t="s">
        <v>940</v>
      </c>
      <c r="BD15" s="259" t="s">
        <v>159</v>
      </c>
      <c r="BE15" s="274" t="s">
        <v>940</v>
      </c>
      <c r="BF15" s="248">
        <v>13</v>
      </c>
      <c r="BG15" s="15"/>
      <c r="BH15" s="15"/>
      <c r="BI15" s="15"/>
      <c r="BJ15" s="15"/>
    </row>
    <row r="16" spans="1:62" ht="12.75">
      <c r="A16" s="247">
        <v>14</v>
      </c>
      <c r="B16" s="193" t="str">
        <f>HLOOKUP($D$1,$D$2:$BE$60,15)</f>
        <v>INQ 26</v>
      </c>
      <c r="C16" s="194" t="str">
        <f>HLOOKUP($D$1,$D$2:$BE$60,45)</f>
        <v>RK</v>
      </c>
      <c r="D16" s="259" t="s">
        <v>1073</v>
      </c>
      <c r="E16" s="267" t="s">
        <v>1073</v>
      </c>
      <c r="F16" s="267" t="s">
        <v>1073</v>
      </c>
      <c r="G16" s="267" t="s">
        <v>1073</v>
      </c>
      <c r="H16" s="259" t="s">
        <v>372</v>
      </c>
      <c r="I16" s="266" t="s">
        <v>381</v>
      </c>
      <c r="J16" s="259" t="s">
        <v>387</v>
      </c>
      <c r="K16" s="268" t="s">
        <v>391</v>
      </c>
      <c r="L16" s="259" t="s">
        <v>313</v>
      </c>
      <c r="M16" s="261" t="s">
        <v>311</v>
      </c>
      <c r="N16" s="259" t="s">
        <v>446</v>
      </c>
      <c r="O16" s="265" t="s">
        <v>311</v>
      </c>
      <c r="P16" s="259" t="s">
        <v>311</v>
      </c>
      <c r="Q16" s="259" t="s">
        <v>322</v>
      </c>
      <c r="R16" s="259" t="s">
        <v>982</v>
      </c>
      <c r="S16" s="259" t="s">
        <v>1073</v>
      </c>
      <c r="T16" s="259" t="s">
        <v>982</v>
      </c>
      <c r="U16" s="259" t="s">
        <v>982</v>
      </c>
      <c r="V16" s="259" t="s">
        <v>985</v>
      </c>
      <c r="W16" s="259" t="s">
        <v>1025</v>
      </c>
      <c r="X16" s="259" t="s">
        <v>501</v>
      </c>
      <c r="Y16" s="259" t="s">
        <v>713</v>
      </c>
      <c r="Z16" s="263" t="s">
        <v>731</v>
      </c>
      <c r="AA16" s="259" t="s">
        <v>746</v>
      </c>
      <c r="AB16" s="259" t="s">
        <v>845</v>
      </c>
      <c r="AC16" s="259" t="s">
        <v>786</v>
      </c>
      <c r="AD16" s="259" t="s">
        <v>799</v>
      </c>
      <c r="AE16" s="259" t="s">
        <v>809</v>
      </c>
      <c r="AF16" s="259" t="s">
        <v>820</v>
      </c>
      <c r="AG16" s="259" t="s">
        <v>820</v>
      </c>
      <c r="AH16" s="259" t="s">
        <v>823</v>
      </c>
      <c r="AI16" s="259" t="s">
        <v>865</v>
      </c>
      <c r="AJ16" s="259" t="s">
        <v>766</v>
      </c>
      <c r="AK16" s="259" t="s">
        <v>1042</v>
      </c>
      <c r="AL16" s="259" t="s">
        <v>165</v>
      </c>
      <c r="AM16" s="259" t="s">
        <v>408</v>
      </c>
      <c r="AN16" s="259" t="s">
        <v>165</v>
      </c>
      <c r="AO16" s="259" t="s">
        <v>1005</v>
      </c>
      <c r="AP16" s="259" t="s">
        <v>487</v>
      </c>
      <c r="AQ16" s="259" t="s">
        <v>192</v>
      </c>
      <c r="AR16" s="259" t="s">
        <v>165</v>
      </c>
      <c r="AS16" s="95" t="s">
        <v>164</v>
      </c>
      <c r="AT16" s="259" t="s">
        <v>153</v>
      </c>
      <c r="AU16" s="259" t="s">
        <v>1112</v>
      </c>
      <c r="AV16" s="274" t="s">
        <v>1101</v>
      </c>
      <c r="AW16" s="259" t="s">
        <v>932</v>
      </c>
      <c r="AX16" s="274" t="s">
        <v>1193</v>
      </c>
      <c r="AY16" s="259" t="s">
        <v>473</v>
      </c>
      <c r="AZ16" s="274" t="s">
        <v>1193</v>
      </c>
      <c r="BA16" s="274" t="s">
        <v>941</v>
      </c>
      <c r="BB16" s="259" t="s">
        <v>577</v>
      </c>
      <c r="BC16" s="274" t="s">
        <v>941</v>
      </c>
      <c r="BD16" s="259" t="s">
        <v>132</v>
      </c>
      <c r="BE16" s="274" t="s">
        <v>941</v>
      </c>
      <c r="BF16" s="248">
        <v>14</v>
      </c>
      <c r="BG16" s="15"/>
      <c r="BH16" s="15"/>
      <c r="BI16" s="15"/>
      <c r="BJ16" s="15"/>
    </row>
    <row r="17" spans="1:62" ht="12.75">
      <c r="A17" s="247">
        <v>15</v>
      </c>
      <c r="B17" s="193" t="str">
        <f>HLOOKUP($D$1,$D$2:$BE$60,16)</f>
        <v>IOG 20</v>
      </c>
      <c r="C17" s="194" t="str">
        <f>HLOOKUP($D$1,$D$2:$BE$60,46)</f>
        <v>RV</v>
      </c>
      <c r="D17" s="259" t="s">
        <v>1073</v>
      </c>
      <c r="E17" s="267" t="s">
        <v>1073</v>
      </c>
      <c r="F17" s="267" t="s">
        <v>1073</v>
      </c>
      <c r="G17" s="267" t="s">
        <v>1073</v>
      </c>
      <c r="H17" s="259" t="s">
        <v>417</v>
      </c>
      <c r="I17" s="261" t="s">
        <v>523</v>
      </c>
      <c r="J17" s="259" t="s">
        <v>518</v>
      </c>
      <c r="K17" s="269" t="s">
        <v>510</v>
      </c>
      <c r="L17" s="259" t="s">
        <v>308</v>
      </c>
      <c r="M17" s="261" t="s">
        <v>317</v>
      </c>
      <c r="N17" s="259" t="s">
        <v>452</v>
      </c>
      <c r="O17" s="265" t="s">
        <v>317</v>
      </c>
      <c r="P17" s="263" t="s">
        <v>317</v>
      </c>
      <c r="Q17" s="259" t="s">
        <v>325</v>
      </c>
      <c r="R17" s="259" t="s">
        <v>985</v>
      </c>
      <c r="S17" s="259" t="s">
        <v>1073</v>
      </c>
      <c r="T17" s="259" t="s">
        <v>985</v>
      </c>
      <c r="U17" s="259" t="s">
        <v>985</v>
      </c>
      <c r="V17" s="259" t="s">
        <v>1057</v>
      </c>
      <c r="W17" s="259" t="s">
        <v>1047</v>
      </c>
      <c r="X17" s="259" t="s">
        <v>504</v>
      </c>
      <c r="Y17" s="259" t="s">
        <v>719</v>
      </c>
      <c r="Z17" s="259" t="s">
        <v>734</v>
      </c>
      <c r="AA17" s="259" t="s">
        <v>749</v>
      </c>
      <c r="AB17" s="259" t="s">
        <v>848</v>
      </c>
      <c r="AC17" s="259" t="s">
        <v>788</v>
      </c>
      <c r="AD17" s="259" t="s">
        <v>802</v>
      </c>
      <c r="AE17" s="259" t="s">
        <v>812</v>
      </c>
      <c r="AF17" s="259" t="s">
        <v>823</v>
      </c>
      <c r="AG17" s="259" t="s">
        <v>823</v>
      </c>
      <c r="AH17" s="259" t="s">
        <v>838</v>
      </c>
      <c r="AI17" s="259" t="s">
        <v>868</v>
      </c>
      <c r="AJ17" s="259" t="s">
        <v>769</v>
      </c>
      <c r="AK17" s="259" t="s">
        <v>1043</v>
      </c>
      <c r="AL17" s="259" t="s">
        <v>166</v>
      </c>
      <c r="AM17" s="259" t="s">
        <v>409</v>
      </c>
      <c r="AN17" s="259" t="s">
        <v>166</v>
      </c>
      <c r="AO17" s="259" t="s">
        <v>1006</v>
      </c>
      <c r="AP17" s="259" t="s">
        <v>488</v>
      </c>
      <c r="AQ17" s="259" t="s">
        <v>193</v>
      </c>
      <c r="AR17" s="259" t="s">
        <v>166</v>
      </c>
      <c r="AS17" s="95" t="s">
        <v>165</v>
      </c>
      <c r="AT17" s="259" t="s">
        <v>154</v>
      </c>
      <c r="AU17" s="259" t="s">
        <v>1113</v>
      </c>
      <c r="AV17" s="274" t="s">
        <v>1102</v>
      </c>
      <c r="AW17" s="259" t="s">
        <v>933</v>
      </c>
      <c r="AX17" s="274" t="s">
        <v>1194</v>
      </c>
      <c r="AY17" s="259" t="s">
        <v>474</v>
      </c>
      <c r="AZ17" s="274" t="s">
        <v>1194</v>
      </c>
      <c r="BA17" s="274" t="s">
        <v>942</v>
      </c>
      <c r="BB17" s="259" t="s">
        <v>578</v>
      </c>
      <c r="BC17" s="274" t="s">
        <v>942</v>
      </c>
      <c r="BD17" s="259" t="s">
        <v>133</v>
      </c>
      <c r="BE17" s="274" t="s">
        <v>140</v>
      </c>
      <c r="BF17" s="248">
        <v>15</v>
      </c>
      <c r="BG17" s="15"/>
      <c r="BH17" s="15"/>
      <c r="BI17" s="15"/>
      <c r="BJ17" s="15"/>
    </row>
    <row r="18" spans="1:62" ht="12.75">
      <c r="A18" s="247">
        <v>16</v>
      </c>
      <c r="B18" s="193" t="str">
        <f>HLOOKUP($D$1,$D$2:$BE$60,17)</f>
        <v>IOG 21</v>
      </c>
      <c r="C18" s="194" t="str">
        <f>HLOOKUP($D$1,$D$2:$BE$60,47)</f>
        <v>RV</v>
      </c>
      <c r="D18" s="259" t="s">
        <v>1073</v>
      </c>
      <c r="E18" s="267" t="s">
        <v>1073</v>
      </c>
      <c r="F18" s="267" t="s">
        <v>1073</v>
      </c>
      <c r="G18" s="267" t="s">
        <v>1073</v>
      </c>
      <c r="H18" s="259" t="s">
        <v>531</v>
      </c>
      <c r="I18" s="266" t="s">
        <v>378</v>
      </c>
      <c r="J18" s="259" t="s">
        <v>384</v>
      </c>
      <c r="K18" s="269" t="s">
        <v>348</v>
      </c>
      <c r="L18" s="259" t="s">
        <v>314</v>
      </c>
      <c r="M18" s="261" t="s">
        <v>306</v>
      </c>
      <c r="N18" s="259" t="s">
        <v>344</v>
      </c>
      <c r="O18" s="265" t="s">
        <v>306</v>
      </c>
      <c r="P18" s="259" t="s">
        <v>328</v>
      </c>
      <c r="Q18" s="259" t="s">
        <v>1073</v>
      </c>
      <c r="R18" s="259" t="s">
        <v>1073</v>
      </c>
      <c r="S18" s="259" t="s">
        <v>1073</v>
      </c>
      <c r="T18" s="259" t="s">
        <v>1073</v>
      </c>
      <c r="U18" s="259" t="s">
        <v>1073</v>
      </c>
      <c r="V18" s="259" t="s">
        <v>1073</v>
      </c>
      <c r="W18" s="259" t="s">
        <v>1073</v>
      </c>
      <c r="X18" s="259" t="s">
        <v>1073</v>
      </c>
      <c r="Y18" s="259" t="s">
        <v>1073</v>
      </c>
      <c r="Z18" s="259" t="s">
        <v>1073</v>
      </c>
      <c r="AA18" s="259" t="s">
        <v>1073</v>
      </c>
      <c r="AB18" s="259" t="s">
        <v>1073</v>
      </c>
      <c r="AC18" s="259" t="s">
        <v>1073</v>
      </c>
      <c r="AD18" s="259" t="s">
        <v>1073</v>
      </c>
      <c r="AE18" s="259" t="s">
        <v>1073</v>
      </c>
      <c r="AF18" s="259" t="s">
        <v>1073</v>
      </c>
      <c r="AG18" s="259" t="s">
        <v>1073</v>
      </c>
      <c r="AH18" s="259" t="s">
        <v>1073</v>
      </c>
      <c r="AI18" s="259" t="s">
        <v>1073</v>
      </c>
      <c r="AJ18" s="259" t="s">
        <v>1073</v>
      </c>
      <c r="AK18" s="259" t="s">
        <v>1073</v>
      </c>
      <c r="AL18" s="259" t="s">
        <v>167</v>
      </c>
      <c r="AM18" s="259" t="s">
        <v>1073</v>
      </c>
      <c r="AN18" s="259" t="s">
        <v>167</v>
      </c>
      <c r="AO18" s="259" t="s">
        <v>1007</v>
      </c>
      <c r="AP18" s="259" t="s">
        <v>1073</v>
      </c>
      <c r="AQ18" s="259" t="s">
        <v>1073</v>
      </c>
      <c r="AR18" s="259" t="s">
        <v>167</v>
      </c>
      <c r="AS18" s="95" t="s">
        <v>887</v>
      </c>
      <c r="AT18" s="259" t="s">
        <v>160</v>
      </c>
      <c r="AU18" s="259" t="s">
        <v>160</v>
      </c>
      <c r="AV18" s="274" t="s">
        <v>1103</v>
      </c>
      <c r="AW18" s="259" t="s">
        <v>1073</v>
      </c>
      <c r="AX18" s="274" t="s">
        <v>1195</v>
      </c>
      <c r="AY18" s="259" t="s">
        <v>160</v>
      </c>
      <c r="AZ18" s="274" t="s">
        <v>1195</v>
      </c>
      <c r="BA18" s="274" t="s">
        <v>943</v>
      </c>
      <c r="BB18" s="259" t="s">
        <v>1073</v>
      </c>
      <c r="BC18" s="274" t="s">
        <v>943</v>
      </c>
      <c r="BD18" s="259" t="s">
        <v>160</v>
      </c>
      <c r="BE18" s="274" t="s">
        <v>141</v>
      </c>
      <c r="BF18" s="248">
        <v>16</v>
      </c>
      <c r="BG18" s="15"/>
      <c r="BH18" s="15"/>
      <c r="BI18" s="15"/>
      <c r="BJ18" s="15"/>
    </row>
    <row r="19" spans="1:62" ht="12.75">
      <c r="A19" s="247">
        <v>17</v>
      </c>
      <c r="B19" s="193" t="str">
        <f>HLOOKUP($D$1,$D$2:$BE$60,18)</f>
        <v>IOQ 24</v>
      </c>
      <c r="C19" s="194" t="str">
        <f>HLOOKUP($D$1,$D$2:$BE$60,48)</f>
        <v>RL</v>
      </c>
      <c r="D19" s="259" t="s">
        <v>1073</v>
      </c>
      <c r="E19" s="267" t="s">
        <v>1073</v>
      </c>
      <c r="F19" s="267" t="s">
        <v>1073</v>
      </c>
      <c r="G19" s="267" t="s">
        <v>1073</v>
      </c>
      <c r="H19" s="259" t="s">
        <v>373</v>
      </c>
      <c r="I19" s="261" t="s">
        <v>524</v>
      </c>
      <c r="J19" s="259" t="s">
        <v>519</v>
      </c>
      <c r="K19" s="269" t="s">
        <v>511</v>
      </c>
      <c r="L19" s="259" t="s">
        <v>423</v>
      </c>
      <c r="M19" s="261" t="s">
        <v>312</v>
      </c>
      <c r="N19" s="259" t="s">
        <v>436</v>
      </c>
      <c r="O19" s="265" t="s">
        <v>312</v>
      </c>
      <c r="P19" s="259" t="s">
        <v>331</v>
      </c>
      <c r="Q19" s="259" t="s">
        <v>1073</v>
      </c>
      <c r="R19" s="259" t="s">
        <v>1073</v>
      </c>
      <c r="S19" s="259" t="s">
        <v>1073</v>
      </c>
      <c r="T19" s="259" t="s">
        <v>1073</v>
      </c>
      <c r="U19" s="259" t="s">
        <v>1073</v>
      </c>
      <c r="V19" s="259" t="s">
        <v>1073</v>
      </c>
      <c r="W19" s="259" t="s">
        <v>1073</v>
      </c>
      <c r="X19" s="259" t="s">
        <v>1073</v>
      </c>
      <c r="Y19" s="259" t="s">
        <v>1073</v>
      </c>
      <c r="Z19" s="259" t="s">
        <v>1073</v>
      </c>
      <c r="AA19" s="259" t="s">
        <v>1073</v>
      </c>
      <c r="AB19" s="259" t="s">
        <v>1073</v>
      </c>
      <c r="AC19" s="259" t="s">
        <v>1073</v>
      </c>
      <c r="AD19" s="259" t="s">
        <v>1073</v>
      </c>
      <c r="AE19" s="259" t="s">
        <v>1073</v>
      </c>
      <c r="AF19" s="259" t="s">
        <v>1073</v>
      </c>
      <c r="AG19" s="259" t="s">
        <v>1073</v>
      </c>
      <c r="AH19" s="259" t="s">
        <v>1073</v>
      </c>
      <c r="AI19" s="259" t="s">
        <v>1073</v>
      </c>
      <c r="AJ19" s="259" t="s">
        <v>1073</v>
      </c>
      <c r="AK19" s="259" t="s">
        <v>1073</v>
      </c>
      <c r="AL19" s="259" t="s">
        <v>1073</v>
      </c>
      <c r="AM19" s="259" t="s">
        <v>1073</v>
      </c>
      <c r="AN19" s="259" t="s">
        <v>1073</v>
      </c>
      <c r="AO19" s="259" t="s">
        <v>1073</v>
      </c>
      <c r="AP19" s="259" t="s">
        <v>1073</v>
      </c>
      <c r="AQ19" s="259" t="s">
        <v>1073</v>
      </c>
      <c r="AR19" s="259" t="s">
        <v>1073</v>
      </c>
      <c r="AS19" s="95" t="s">
        <v>166</v>
      </c>
      <c r="AT19" s="259" t="s">
        <v>1073</v>
      </c>
      <c r="AU19" s="259" t="s">
        <v>1073</v>
      </c>
      <c r="AV19" s="274" t="s">
        <v>1164</v>
      </c>
      <c r="AW19" s="259" t="s">
        <v>1073</v>
      </c>
      <c r="AX19" s="274" t="s">
        <v>1196</v>
      </c>
      <c r="AY19" s="259" t="s">
        <v>1073</v>
      </c>
      <c r="AZ19" s="274" t="s">
        <v>1196</v>
      </c>
      <c r="BA19" s="274" t="s">
        <v>944</v>
      </c>
      <c r="BB19" s="259" t="s">
        <v>1073</v>
      </c>
      <c r="BC19" s="274" t="s">
        <v>944</v>
      </c>
      <c r="BD19" s="259" t="s">
        <v>1073</v>
      </c>
      <c r="BE19" s="274" t="s">
        <v>944</v>
      </c>
      <c r="BF19" s="248">
        <v>17</v>
      </c>
      <c r="BG19" s="15"/>
      <c r="BH19" s="15"/>
      <c r="BI19" s="15"/>
      <c r="BJ19" s="15"/>
    </row>
    <row r="20" spans="1:62" ht="12.75">
      <c r="A20" s="247">
        <v>18</v>
      </c>
      <c r="B20" s="193" t="str">
        <f>HLOOKUP($D$1,$D$2:$BE$60,19)</f>
        <v>IOQ 26</v>
      </c>
      <c r="C20" s="194" t="str">
        <f>HLOOKUP($D$1,$D$2:$BE$60,49)</f>
        <v>RL</v>
      </c>
      <c r="D20" s="259" t="s">
        <v>1073</v>
      </c>
      <c r="E20" s="267" t="s">
        <v>1073</v>
      </c>
      <c r="F20" s="267" t="s">
        <v>1073</v>
      </c>
      <c r="G20" s="267" t="s">
        <v>1073</v>
      </c>
      <c r="H20" s="259" t="s">
        <v>418</v>
      </c>
      <c r="I20" s="266" t="s">
        <v>379</v>
      </c>
      <c r="J20" s="259" t="s">
        <v>385</v>
      </c>
      <c r="K20" s="269" t="s">
        <v>349</v>
      </c>
      <c r="L20" s="259" t="s">
        <v>424</v>
      </c>
      <c r="M20" s="261" t="s">
        <v>318</v>
      </c>
      <c r="N20" s="259" t="s">
        <v>442</v>
      </c>
      <c r="O20" s="265" t="s">
        <v>318</v>
      </c>
      <c r="P20" s="263" t="s">
        <v>334</v>
      </c>
      <c r="Q20" s="259" t="s">
        <v>1073</v>
      </c>
      <c r="R20" s="259" t="s">
        <v>1073</v>
      </c>
      <c r="S20" s="259" t="s">
        <v>1073</v>
      </c>
      <c r="T20" s="259" t="s">
        <v>1073</v>
      </c>
      <c r="U20" s="259" t="s">
        <v>1073</v>
      </c>
      <c r="V20" s="259" t="s">
        <v>1073</v>
      </c>
      <c r="W20" s="259" t="s">
        <v>1073</v>
      </c>
      <c r="X20" s="259" t="s">
        <v>1073</v>
      </c>
      <c r="Y20" s="259" t="s">
        <v>1073</v>
      </c>
      <c r="Z20" s="259" t="s">
        <v>1073</v>
      </c>
      <c r="AA20" s="259" t="s">
        <v>1073</v>
      </c>
      <c r="AB20" s="259" t="s">
        <v>1073</v>
      </c>
      <c r="AC20" s="259" t="s">
        <v>1073</v>
      </c>
      <c r="AD20" s="259" t="s">
        <v>1073</v>
      </c>
      <c r="AE20" s="259" t="s">
        <v>1073</v>
      </c>
      <c r="AF20" s="259" t="s">
        <v>1073</v>
      </c>
      <c r="AG20" s="259" t="s">
        <v>1073</v>
      </c>
      <c r="AH20" s="259" t="s">
        <v>1073</v>
      </c>
      <c r="AI20" s="259" t="s">
        <v>1073</v>
      </c>
      <c r="AJ20" s="259" t="s">
        <v>1073</v>
      </c>
      <c r="AK20" s="259" t="s">
        <v>1073</v>
      </c>
      <c r="AL20" s="259" t="s">
        <v>1073</v>
      </c>
      <c r="AM20" s="259" t="s">
        <v>1073</v>
      </c>
      <c r="AN20" s="259" t="s">
        <v>1073</v>
      </c>
      <c r="AO20" s="259" t="s">
        <v>1073</v>
      </c>
      <c r="AP20" s="259" t="s">
        <v>1073</v>
      </c>
      <c r="AQ20" s="259" t="s">
        <v>1073</v>
      </c>
      <c r="AR20" s="259" t="s">
        <v>1073</v>
      </c>
      <c r="AS20" s="95" t="s">
        <v>167</v>
      </c>
      <c r="AT20" s="259" t="s">
        <v>1073</v>
      </c>
      <c r="AU20" s="259" t="s">
        <v>1073</v>
      </c>
      <c r="AV20" s="274" t="s">
        <v>1104</v>
      </c>
      <c r="AW20" s="259" t="s">
        <v>1073</v>
      </c>
      <c r="AX20" s="274" t="s">
        <v>1197</v>
      </c>
      <c r="AY20" s="259" t="s">
        <v>1073</v>
      </c>
      <c r="AZ20" s="274" t="s">
        <v>1197</v>
      </c>
      <c r="BA20" s="274" t="s">
        <v>945</v>
      </c>
      <c r="BB20" s="259" t="s">
        <v>1073</v>
      </c>
      <c r="BC20" s="274" t="s">
        <v>945</v>
      </c>
      <c r="BD20" s="259" t="s">
        <v>1073</v>
      </c>
      <c r="BE20" s="274" t="s">
        <v>945</v>
      </c>
      <c r="BF20" s="248">
        <v>18</v>
      </c>
      <c r="BG20" s="15"/>
      <c r="BH20" s="15"/>
      <c r="BI20" s="15"/>
      <c r="BJ20" s="15"/>
    </row>
    <row r="21" spans="1:62" ht="12.75">
      <c r="A21" s="247">
        <v>19</v>
      </c>
      <c r="B21" s="193" t="str">
        <f>HLOOKUP($D$1,$D$2:$BE$60,20)</f>
        <v>IPG 20</v>
      </c>
      <c r="C21" s="194" t="str">
        <f>HLOOKUP($D$1,$D$2:$BE$60,50)</f>
        <v>RX</v>
      </c>
      <c r="D21" s="259" t="s">
        <v>1073</v>
      </c>
      <c r="E21" s="267" t="s">
        <v>1073</v>
      </c>
      <c r="F21" s="267" t="s">
        <v>1073</v>
      </c>
      <c r="G21" s="267" t="s">
        <v>1073</v>
      </c>
      <c r="H21" s="267" t="s">
        <v>1073</v>
      </c>
      <c r="I21" s="267" t="s">
        <v>1073</v>
      </c>
      <c r="J21" s="267" t="s">
        <v>1073</v>
      </c>
      <c r="K21" s="267" t="s">
        <v>1073</v>
      </c>
      <c r="L21" s="259" t="s">
        <v>305</v>
      </c>
      <c r="M21" s="261" t="s">
        <v>291</v>
      </c>
      <c r="N21" s="259" t="s">
        <v>447</v>
      </c>
      <c r="O21" s="265" t="s">
        <v>291</v>
      </c>
      <c r="P21" s="263" t="s">
        <v>291</v>
      </c>
      <c r="Q21" s="259" t="s">
        <v>1073</v>
      </c>
      <c r="R21" s="259" t="s">
        <v>1073</v>
      </c>
      <c r="S21" s="259" t="s">
        <v>1073</v>
      </c>
      <c r="T21" s="259" t="s">
        <v>1073</v>
      </c>
      <c r="U21" s="259" t="s">
        <v>1073</v>
      </c>
      <c r="V21" s="259" t="s">
        <v>1073</v>
      </c>
      <c r="W21" s="259" t="s">
        <v>1073</v>
      </c>
      <c r="X21" s="259" t="s">
        <v>1073</v>
      </c>
      <c r="Y21" s="259" t="s">
        <v>1073</v>
      </c>
      <c r="Z21" s="259" t="s">
        <v>1073</v>
      </c>
      <c r="AA21" s="259" t="s">
        <v>1073</v>
      </c>
      <c r="AB21" s="259" t="s">
        <v>1073</v>
      </c>
      <c r="AC21" s="259" t="s">
        <v>1073</v>
      </c>
      <c r="AD21" s="259" t="s">
        <v>1073</v>
      </c>
      <c r="AE21" s="259" t="s">
        <v>1073</v>
      </c>
      <c r="AF21" s="259" t="s">
        <v>1073</v>
      </c>
      <c r="AG21" s="259" t="s">
        <v>1073</v>
      </c>
      <c r="AH21" s="259" t="s">
        <v>1073</v>
      </c>
      <c r="AI21" s="259" t="s">
        <v>1073</v>
      </c>
      <c r="AJ21" s="259" t="s">
        <v>1073</v>
      </c>
      <c r="AK21" s="259" t="s">
        <v>1073</v>
      </c>
      <c r="AL21" s="259" t="s">
        <v>1073</v>
      </c>
      <c r="AM21" s="259" t="s">
        <v>1073</v>
      </c>
      <c r="AN21" s="259" t="s">
        <v>1073</v>
      </c>
      <c r="AO21" s="259" t="s">
        <v>1073</v>
      </c>
      <c r="AP21" s="259" t="s">
        <v>1073</v>
      </c>
      <c r="AQ21" s="259" t="s">
        <v>1073</v>
      </c>
      <c r="AR21" s="259" t="s">
        <v>1073</v>
      </c>
      <c r="AS21" s="95" t="s">
        <v>888</v>
      </c>
      <c r="AT21" s="259" t="s">
        <v>1073</v>
      </c>
      <c r="AU21" s="259" t="s">
        <v>1073</v>
      </c>
      <c r="AV21" s="274" t="s">
        <v>1105</v>
      </c>
      <c r="AW21" s="259" t="s">
        <v>1073</v>
      </c>
      <c r="AX21" s="274" t="s">
        <v>1198</v>
      </c>
      <c r="AY21" s="259" t="s">
        <v>1073</v>
      </c>
      <c r="AZ21" s="274" t="s">
        <v>1198</v>
      </c>
      <c r="BA21" s="274" t="s">
        <v>946</v>
      </c>
      <c r="BB21" s="259" t="s">
        <v>1073</v>
      </c>
      <c r="BC21" s="274" t="s">
        <v>946</v>
      </c>
      <c r="BD21" s="259" t="s">
        <v>1073</v>
      </c>
      <c r="BE21" s="274" t="s">
        <v>142</v>
      </c>
      <c r="BF21" s="248">
        <v>19</v>
      </c>
      <c r="BG21" s="15"/>
      <c r="BH21" s="15"/>
      <c r="BI21" s="15"/>
      <c r="BJ21" s="15"/>
    </row>
    <row r="22" spans="1:62" ht="12.75">
      <c r="A22" s="247">
        <v>20</v>
      </c>
      <c r="B22" s="193" t="str">
        <f>HLOOKUP($D$1,$D$2:$BE$60,21)</f>
        <v>IPG 21</v>
      </c>
      <c r="C22" s="194" t="str">
        <f>HLOOKUP($D$1,$D$2:$BE$60,51)</f>
        <v>RX</v>
      </c>
      <c r="D22" s="259" t="s">
        <v>1073</v>
      </c>
      <c r="E22" s="267" t="s">
        <v>1073</v>
      </c>
      <c r="F22" s="267" t="s">
        <v>1073</v>
      </c>
      <c r="G22" s="267" t="s">
        <v>1073</v>
      </c>
      <c r="H22" s="267" t="s">
        <v>1073</v>
      </c>
      <c r="I22" s="267" t="s">
        <v>1073</v>
      </c>
      <c r="J22" s="267" t="s">
        <v>1073</v>
      </c>
      <c r="K22" s="267" t="s">
        <v>1073</v>
      </c>
      <c r="L22" s="259" t="s">
        <v>311</v>
      </c>
      <c r="M22" s="261" t="s">
        <v>297</v>
      </c>
      <c r="N22" s="259" t="s">
        <v>453</v>
      </c>
      <c r="O22" s="265" t="s">
        <v>297</v>
      </c>
      <c r="P22" s="263" t="s">
        <v>297</v>
      </c>
      <c r="Q22" s="259" t="s">
        <v>1073</v>
      </c>
      <c r="R22" s="259" t="s">
        <v>1073</v>
      </c>
      <c r="S22" s="259" t="s">
        <v>1073</v>
      </c>
      <c r="T22" s="259" t="s">
        <v>1073</v>
      </c>
      <c r="U22" s="259" t="s">
        <v>1073</v>
      </c>
      <c r="V22" s="259" t="s">
        <v>1073</v>
      </c>
      <c r="W22" s="259" t="s">
        <v>1073</v>
      </c>
      <c r="X22" s="259" t="s">
        <v>1073</v>
      </c>
      <c r="Y22" s="259" t="s">
        <v>1073</v>
      </c>
      <c r="Z22" s="259" t="s">
        <v>1073</v>
      </c>
      <c r="AA22" s="259" t="s">
        <v>1073</v>
      </c>
      <c r="AB22" s="259" t="s">
        <v>1073</v>
      </c>
      <c r="AC22" s="259" t="s">
        <v>1073</v>
      </c>
      <c r="AD22" s="259" t="s">
        <v>1073</v>
      </c>
      <c r="AE22" s="259" t="s">
        <v>1073</v>
      </c>
      <c r="AF22" s="259" t="s">
        <v>1073</v>
      </c>
      <c r="AG22" s="259" t="s">
        <v>1073</v>
      </c>
      <c r="AH22" s="259" t="s">
        <v>1073</v>
      </c>
      <c r="AI22" s="259" t="s">
        <v>1073</v>
      </c>
      <c r="AJ22" s="259" t="s">
        <v>1073</v>
      </c>
      <c r="AK22" s="259" t="s">
        <v>1073</v>
      </c>
      <c r="AL22" s="259" t="s">
        <v>1073</v>
      </c>
      <c r="AM22" s="259" t="s">
        <v>1073</v>
      </c>
      <c r="AN22" s="259" t="s">
        <v>1073</v>
      </c>
      <c r="AO22" s="259" t="s">
        <v>1073</v>
      </c>
      <c r="AP22" s="259" t="s">
        <v>1073</v>
      </c>
      <c r="AQ22" s="259" t="s">
        <v>1073</v>
      </c>
      <c r="AR22" s="259" t="s">
        <v>1073</v>
      </c>
      <c r="AS22" s="259" t="s">
        <v>1073</v>
      </c>
      <c r="AT22" s="259" t="s">
        <v>1073</v>
      </c>
      <c r="AU22" s="259" t="s">
        <v>1073</v>
      </c>
      <c r="AV22" s="274" t="s">
        <v>1106</v>
      </c>
      <c r="AW22" s="259" t="s">
        <v>1073</v>
      </c>
      <c r="AX22" s="274" t="s">
        <v>1199</v>
      </c>
      <c r="AY22" s="259" t="s">
        <v>1073</v>
      </c>
      <c r="AZ22" s="274" t="s">
        <v>1199</v>
      </c>
      <c r="BA22" s="274" t="s">
        <v>947</v>
      </c>
      <c r="BB22" s="259" t="s">
        <v>1073</v>
      </c>
      <c r="BC22" s="274" t="s">
        <v>947</v>
      </c>
      <c r="BD22" s="259" t="s">
        <v>1073</v>
      </c>
      <c r="BE22" s="274" t="s">
        <v>143</v>
      </c>
      <c r="BF22" s="248">
        <v>20</v>
      </c>
      <c r="BG22" s="15"/>
      <c r="BH22" s="15"/>
      <c r="BI22" s="15"/>
      <c r="BJ22" s="15"/>
    </row>
    <row r="23" spans="1:62" ht="12.75">
      <c r="A23" s="247">
        <v>21</v>
      </c>
      <c r="B23" s="193" t="str">
        <f>HLOOKUP($D$1,$D$2:$BE$60,22)</f>
        <v>IPQ 24</v>
      </c>
      <c r="C23" s="194" t="str">
        <f>HLOOKUP($D$1,$D$2:$BE$60,52)</f>
        <v>RM</v>
      </c>
      <c r="D23" s="259" t="s">
        <v>1073</v>
      </c>
      <c r="E23" s="267" t="s">
        <v>1073</v>
      </c>
      <c r="F23" s="267" t="s">
        <v>1073</v>
      </c>
      <c r="G23" s="267" t="s">
        <v>1073</v>
      </c>
      <c r="H23" s="267" t="s">
        <v>1073</v>
      </c>
      <c r="I23" s="267" t="s">
        <v>1073</v>
      </c>
      <c r="J23" s="267" t="s">
        <v>1073</v>
      </c>
      <c r="K23" s="267" t="s">
        <v>1073</v>
      </c>
      <c r="L23" s="259" t="s">
        <v>306</v>
      </c>
      <c r="M23" s="261" t="s">
        <v>292</v>
      </c>
      <c r="N23" s="259" t="s">
        <v>341</v>
      </c>
      <c r="O23" s="265" t="s">
        <v>292</v>
      </c>
      <c r="P23" s="263" t="s">
        <v>321</v>
      </c>
      <c r="Q23" s="259" t="s">
        <v>1073</v>
      </c>
      <c r="R23" s="259" t="s">
        <v>1073</v>
      </c>
      <c r="S23" s="259" t="s">
        <v>1073</v>
      </c>
      <c r="T23" s="259" t="s">
        <v>1073</v>
      </c>
      <c r="U23" s="259" t="s">
        <v>1073</v>
      </c>
      <c r="V23" s="259" t="s">
        <v>1073</v>
      </c>
      <c r="W23" s="259" t="s">
        <v>1073</v>
      </c>
      <c r="X23" s="259" t="s">
        <v>1073</v>
      </c>
      <c r="Y23" s="259" t="s">
        <v>1073</v>
      </c>
      <c r="Z23" s="259" t="s">
        <v>1073</v>
      </c>
      <c r="AA23" s="259" t="s">
        <v>1073</v>
      </c>
      <c r="AB23" s="259" t="s">
        <v>1073</v>
      </c>
      <c r="AC23" s="259" t="s">
        <v>1073</v>
      </c>
      <c r="AD23" s="259" t="s">
        <v>1073</v>
      </c>
      <c r="AE23" s="259" t="s">
        <v>1073</v>
      </c>
      <c r="AF23" s="259" t="s">
        <v>1073</v>
      </c>
      <c r="AG23" s="259" t="s">
        <v>1073</v>
      </c>
      <c r="AH23" s="259" t="s">
        <v>1073</v>
      </c>
      <c r="AI23" s="259" t="s">
        <v>1073</v>
      </c>
      <c r="AJ23" s="259" t="s">
        <v>1073</v>
      </c>
      <c r="AK23" s="259" t="s">
        <v>1073</v>
      </c>
      <c r="AL23" s="259" t="s">
        <v>1073</v>
      </c>
      <c r="AM23" s="259" t="s">
        <v>1073</v>
      </c>
      <c r="AN23" s="259" t="s">
        <v>1073</v>
      </c>
      <c r="AO23" s="259" t="s">
        <v>1073</v>
      </c>
      <c r="AP23" s="259" t="s">
        <v>1073</v>
      </c>
      <c r="AQ23" s="259" t="s">
        <v>1073</v>
      </c>
      <c r="AR23" s="259" t="s">
        <v>1073</v>
      </c>
      <c r="AS23" s="259" t="s">
        <v>1073</v>
      </c>
      <c r="AT23" s="259" t="s">
        <v>1073</v>
      </c>
      <c r="AU23" s="259" t="s">
        <v>1073</v>
      </c>
      <c r="AV23" s="274" t="s">
        <v>1165</v>
      </c>
      <c r="AW23" s="259" t="s">
        <v>1073</v>
      </c>
      <c r="AX23" s="274" t="s">
        <v>1200</v>
      </c>
      <c r="AY23" s="259" t="s">
        <v>1073</v>
      </c>
      <c r="AZ23" s="274" t="s">
        <v>1200</v>
      </c>
      <c r="BA23" s="274" t="s">
        <v>948</v>
      </c>
      <c r="BB23" s="259" t="s">
        <v>1073</v>
      </c>
      <c r="BC23" s="274" t="s">
        <v>948</v>
      </c>
      <c r="BD23" s="259" t="s">
        <v>1073</v>
      </c>
      <c r="BE23" s="274" t="s">
        <v>948</v>
      </c>
      <c r="BF23" s="248">
        <v>21</v>
      </c>
      <c r="BG23" s="15"/>
      <c r="BH23" s="15"/>
      <c r="BI23" s="15"/>
      <c r="BJ23" s="15"/>
    </row>
    <row r="24" spans="1:62" ht="12.75">
      <c r="A24" s="247">
        <v>22</v>
      </c>
      <c r="B24" s="193" t="str">
        <f>HLOOKUP($D$1,$D$2:$BE$60,23)</f>
        <v>IPQ 26</v>
      </c>
      <c r="C24" s="194" t="str">
        <f>HLOOKUP($D$1,$D$2:$BE$60,53)</f>
        <v>RM</v>
      </c>
      <c r="D24" s="259" t="s">
        <v>1073</v>
      </c>
      <c r="E24" s="267" t="s">
        <v>1073</v>
      </c>
      <c r="F24" s="267" t="s">
        <v>1073</v>
      </c>
      <c r="G24" s="267" t="s">
        <v>1073</v>
      </c>
      <c r="H24" s="267" t="s">
        <v>1073</v>
      </c>
      <c r="I24" s="267" t="s">
        <v>1073</v>
      </c>
      <c r="J24" s="267" t="s">
        <v>1073</v>
      </c>
      <c r="K24" s="267" t="s">
        <v>1073</v>
      </c>
      <c r="L24" s="259" t="s">
        <v>312</v>
      </c>
      <c r="M24" s="261" t="s">
        <v>300</v>
      </c>
      <c r="N24" s="259" t="s">
        <v>433</v>
      </c>
      <c r="O24" s="265" t="s">
        <v>300</v>
      </c>
      <c r="P24" s="263" t="s">
        <v>324</v>
      </c>
      <c r="Q24" s="259" t="s">
        <v>1073</v>
      </c>
      <c r="R24" s="259" t="s">
        <v>1073</v>
      </c>
      <c r="S24" s="259" t="s">
        <v>1073</v>
      </c>
      <c r="T24" s="259" t="s">
        <v>1073</v>
      </c>
      <c r="U24" s="259" t="s">
        <v>1073</v>
      </c>
      <c r="V24" s="259" t="s">
        <v>1073</v>
      </c>
      <c r="W24" s="259" t="s">
        <v>1073</v>
      </c>
      <c r="X24" s="259" t="s">
        <v>1073</v>
      </c>
      <c r="Y24" s="259" t="s">
        <v>1073</v>
      </c>
      <c r="Z24" s="259" t="s">
        <v>1073</v>
      </c>
      <c r="AA24" s="259" t="s">
        <v>1073</v>
      </c>
      <c r="AB24" s="259" t="s">
        <v>1073</v>
      </c>
      <c r="AC24" s="259" t="s">
        <v>1073</v>
      </c>
      <c r="AD24" s="259" t="s">
        <v>1073</v>
      </c>
      <c r="AE24" s="259" t="s">
        <v>1073</v>
      </c>
      <c r="AF24" s="259" t="s">
        <v>1073</v>
      </c>
      <c r="AG24" s="259" t="s">
        <v>1073</v>
      </c>
      <c r="AH24" s="259" t="s">
        <v>1073</v>
      </c>
      <c r="AI24" s="259" t="s">
        <v>1073</v>
      </c>
      <c r="AJ24" s="259" t="s">
        <v>1073</v>
      </c>
      <c r="AK24" s="259" t="s">
        <v>1073</v>
      </c>
      <c r="AL24" s="259" t="s">
        <v>1073</v>
      </c>
      <c r="AM24" s="259" t="s">
        <v>1073</v>
      </c>
      <c r="AN24" s="259" t="s">
        <v>1073</v>
      </c>
      <c r="AO24" s="259" t="s">
        <v>1073</v>
      </c>
      <c r="AP24" s="259" t="s">
        <v>1073</v>
      </c>
      <c r="AQ24" s="259" t="s">
        <v>1073</v>
      </c>
      <c r="AR24" s="259" t="s">
        <v>1073</v>
      </c>
      <c r="AS24" s="259" t="s">
        <v>1073</v>
      </c>
      <c r="AT24" s="259" t="s">
        <v>1073</v>
      </c>
      <c r="AU24" s="259" t="s">
        <v>1073</v>
      </c>
      <c r="AV24" s="274" t="s">
        <v>1166</v>
      </c>
      <c r="AW24" s="259" t="s">
        <v>1073</v>
      </c>
      <c r="AX24" s="274" t="s">
        <v>1201</v>
      </c>
      <c r="AY24" s="259" t="s">
        <v>1073</v>
      </c>
      <c r="AZ24" s="274" t="s">
        <v>1201</v>
      </c>
      <c r="BA24" s="274" t="s">
        <v>949</v>
      </c>
      <c r="BB24" s="259" t="s">
        <v>1073</v>
      </c>
      <c r="BC24" s="274" t="s">
        <v>949</v>
      </c>
      <c r="BD24" s="259" t="s">
        <v>1073</v>
      </c>
      <c r="BE24" s="274" t="s">
        <v>949</v>
      </c>
      <c r="BF24" s="248">
        <v>22</v>
      </c>
      <c r="BG24" s="15"/>
      <c r="BH24" s="15"/>
      <c r="BI24" s="15"/>
      <c r="BJ24" s="15"/>
    </row>
    <row r="25" spans="1:62" ht="12.75">
      <c r="A25" s="247">
        <v>23</v>
      </c>
      <c r="B25" s="193" t="str">
        <f>HLOOKUP($D$1,$D$2:$BE$60,24)</f>
        <v> </v>
      </c>
      <c r="C25" s="194" t="str">
        <f>HLOOKUP($D$1,$D$2:$BE$60,54)</f>
        <v> </v>
      </c>
      <c r="D25" s="259" t="s">
        <v>1073</v>
      </c>
      <c r="E25" s="267" t="s">
        <v>1073</v>
      </c>
      <c r="F25" s="267" t="s">
        <v>1073</v>
      </c>
      <c r="G25" s="267" t="s">
        <v>1073</v>
      </c>
      <c r="H25" s="267" t="s">
        <v>1073</v>
      </c>
      <c r="I25" s="267" t="s">
        <v>1073</v>
      </c>
      <c r="J25" s="267" t="s">
        <v>1073</v>
      </c>
      <c r="K25" s="267" t="s">
        <v>1073</v>
      </c>
      <c r="L25" s="259" t="s">
        <v>421</v>
      </c>
      <c r="M25" s="261" t="s">
        <v>295</v>
      </c>
      <c r="N25" s="259" t="s">
        <v>439</v>
      </c>
      <c r="O25" s="265" t="s">
        <v>295</v>
      </c>
      <c r="P25" s="263" t="s">
        <v>295</v>
      </c>
      <c r="Q25" s="259" t="s">
        <v>1073</v>
      </c>
      <c r="R25" s="259" t="s">
        <v>1073</v>
      </c>
      <c r="S25" s="259" t="s">
        <v>1073</v>
      </c>
      <c r="T25" s="259" t="s">
        <v>1073</v>
      </c>
      <c r="U25" s="259" t="s">
        <v>1073</v>
      </c>
      <c r="V25" s="259" t="s">
        <v>1073</v>
      </c>
      <c r="W25" s="259" t="s">
        <v>1073</v>
      </c>
      <c r="X25" s="259" t="s">
        <v>1073</v>
      </c>
      <c r="Y25" s="259" t="s">
        <v>1073</v>
      </c>
      <c r="Z25" s="259" t="s">
        <v>1073</v>
      </c>
      <c r="AA25" s="259" t="s">
        <v>1073</v>
      </c>
      <c r="AB25" s="259" t="s">
        <v>1073</v>
      </c>
      <c r="AC25" s="259" t="s">
        <v>1073</v>
      </c>
      <c r="AD25" s="259" t="s">
        <v>1073</v>
      </c>
      <c r="AE25" s="259" t="s">
        <v>1073</v>
      </c>
      <c r="AF25" s="259" t="s">
        <v>1073</v>
      </c>
      <c r="AG25" s="259" t="s">
        <v>1073</v>
      </c>
      <c r="AH25" s="259" t="s">
        <v>1073</v>
      </c>
      <c r="AI25" s="259" t="s">
        <v>1073</v>
      </c>
      <c r="AJ25" s="259" t="s">
        <v>1073</v>
      </c>
      <c r="AK25" s="259" t="s">
        <v>1073</v>
      </c>
      <c r="AL25" s="259" t="s">
        <v>1073</v>
      </c>
      <c r="AM25" s="259" t="s">
        <v>1073</v>
      </c>
      <c r="AN25" s="259" t="s">
        <v>1073</v>
      </c>
      <c r="AO25" s="259" t="s">
        <v>1073</v>
      </c>
      <c r="AP25" s="259" t="s">
        <v>1073</v>
      </c>
      <c r="AQ25" s="259" t="s">
        <v>1073</v>
      </c>
      <c r="AR25" s="259" t="s">
        <v>1073</v>
      </c>
      <c r="AS25" s="259" t="s">
        <v>1073</v>
      </c>
      <c r="AT25" s="259" t="s">
        <v>1073</v>
      </c>
      <c r="AU25" s="259" t="s">
        <v>1073</v>
      </c>
      <c r="AV25" s="95" t="s">
        <v>1073</v>
      </c>
      <c r="AW25" s="259" t="s">
        <v>1073</v>
      </c>
      <c r="AX25" s="95" t="s">
        <v>1073</v>
      </c>
      <c r="AY25" s="259" t="s">
        <v>1073</v>
      </c>
      <c r="AZ25" s="95" t="s">
        <v>1073</v>
      </c>
      <c r="BA25" s="95" t="s">
        <v>1073</v>
      </c>
      <c r="BB25" s="259" t="s">
        <v>1073</v>
      </c>
      <c r="BC25" s="95" t="s">
        <v>1073</v>
      </c>
      <c r="BD25" s="259" t="s">
        <v>1073</v>
      </c>
      <c r="BE25" s="95" t="s">
        <v>1073</v>
      </c>
      <c r="BF25" s="248">
        <v>23</v>
      </c>
      <c r="BG25" s="15"/>
      <c r="BH25" s="15"/>
      <c r="BI25" s="15"/>
      <c r="BJ25" s="15"/>
    </row>
    <row r="26" spans="1:62" ht="12.75">
      <c r="A26" s="247">
        <v>24</v>
      </c>
      <c r="B26" s="193" t="str">
        <f>HLOOKUP($D$1,$D$2:$BE$60,25)</f>
        <v> </v>
      </c>
      <c r="C26" s="194" t="str">
        <f>HLOOKUP($D$1,$D$2:$BE$60,55)</f>
        <v> </v>
      </c>
      <c r="D26" s="259" t="s">
        <v>1073</v>
      </c>
      <c r="E26" s="267" t="s">
        <v>1073</v>
      </c>
      <c r="F26" s="267" t="s">
        <v>1073</v>
      </c>
      <c r="G26" s="267" t="s">
        <v>1073</v>
      </c>
      <c r="H26" s="267" t="s">
        <v>1073</v>
      </c>
      <c r="I26" s="267" t="s">
        <v>1073</v>
      </c>
      <c r="J26" s="267" t="s">
        <v>1073</v>
      </c>
      <c r="K26" s="267" t="s">
        <v>1073</v>
      </c>
      <c r="L26" s="259" t="s">
        <v>422</v>
      </c>
      <c r="M26" s="261" t="s">
        <v>299</v>
      </c>
      <c r="N26" s="259" t="s">
        <v>444</v>
      </c>
      <c r="O26" s="265" t="s">
        <v>299</v>
      </c>
      <c r="P26" s="263" t="s">
        <v>299</v>
      </c>
      <c r="Q26" s="259" t="s">
        <v>1073</v>
      </c>
      <c r="R26" s="259" t="s">
        <v>1073</v>
      </c>
      <c r="S26" s="259" t="s">
        <v>1073</v>
      </c>
      <c r="T26" s="259" t="s">
        <v>1073</v>
      </c>
      <c r="U26" s="259" t="s">
        <v>1073</v>
      </c>
      <c r="V26" s="259" t="s">
        <v>1073</v>
      </c>
      <c r="W26" s="259" t="s">
        <v>1073</v>
      </c>
      <c r="X26" s="259" t="s">
        <v>1073</v>
      </c>
      <c r="Y26" s="259" t="s">
        <v>1073</v>
      </c>
      <c r="Z26" s="259" t="s">
        <v>1073</v>
      </c>
      <c r="AA26" s="259" t="s">
        <v>1073</v>
      </c>
      <c r="AB26" s="259" t="s">
        <v>1073</v>
      </c>
      <c r="AC26" s="259" t="s">
        <v>1073</v>
      </c>
      <c r="AD26" s="259" t="s">
        <v>1073</v>
      </c>
      <c r="AE26" s="259" t="s">
        <v>1073</v>
      </c>
      <c r="AF26" s="259" t="s">
        <v>1073</v>
      </c>
      <c r="AG26" s="259" t="s">
        <v>1073</v>
      </c>
      <c r="AH26" s="259" t="s">
        <v>1073</v>
      </c>
      <c r="AI26" s="259" t="s">
        <v>1073</v>
      </c>
      <c r="AJ26" s="259" t="s">
        <v>1073</v>
      </c>
      <c r="AK26" s="259" t="s">
        <v>1073</v>
      </c>
      <c r="AL26" s="259" t="s">
        <v>1073</v>
      </c>
      <c r="AM26" s="259" t="s">
        <v>1073</v>
      </c>
      <c r="AN26" s="259" t="s">
        <v>1073</v>
      </c>
      <c r="AO26" s="259" t="s">
        <v>1073</v>
      </c>
      <c r="AP26" s="259" t="s">
        <v>1073</v>
      </c>
      <c r="AQ26" s="259" t="s">
        <v>1073</v>
      </c>
      <c r="AR26" s="259" t="s">
        <v>1073</v>
      </c>
      <c r="AS26" s="259" t="s">
        <v>1073</v>
      </c>
      <c r="AT26" s="259" t="s">
        <v>1073</v>
      </c>
      <c r="AU26" s="259" t="s">
        <v>1073</v>
      </c>
      <c r="AV26" s="95" t="s">
        <v>1073</v>
      </c>
      <c r="AW26" s="259" t="s">
        <v>1073</v>
      </c>
      <c r="AX26" s="95" t="s">
        <v>1073</v>
      </c>
      <c r="AY26" s="259" t="s">
        <v>1073</v>
      </c>
      <c r="AZ26" s="95" t="s">
        <v>1073</v>
      </c>
      <c r="BA26" s="95" t="s">
        <v>1073</v>
      </c>
      <c r="BB26" s="259" t="s">
        <v>1073</v>
      </c>
      <c r="BC26" s="95" t="s">
        <v>1073</v>
      </c>
      <c r="BD26" s="259" t="s">
        <v>1073</v>
      </c>
      <c r="BE26" s="95" t="s">
        <v>1073</v>
      </c>
      <c r="BF26" s="248">
        <v>24</v>
      </c>
      <c r="BG26" s="15"/>
      <c r="BH26" s="15"/>
      <c r="BI26" s="15"/>
      <c r="BJ26" s="15"/>
    </row>
    <row r="27" spans="1:62" ht="12.75">
      <c r="A27" s="247">
        <v>25</v>
      </c>
      <c r="B27" s="193" t="str">
        <f>HLOOKUP($D$1,$D$2:$BE$60,26)</f>
        <v> </v>
      </c>
      <c r="C27" s="194" t="str">
        <f>HLOOKUP($D$1,$D$2:$BE$60,56)</f>
        <v> </v>
      </c>
      <c r="D27" s="259" t="s">
        <v>1073</v>
      </c>
      <c r="E27" s="267" t="s">
        <v>1073</v>
      </c>
      <c r="F27" s="267" t="s">
        <v>1073</v>
      </c>
      <c r="G27" s="267" t="s">
        <v>1073</v>
      </c>
      <c r="H27" s="267" t="s">
        <v>1073</v>
      </c>
      <c r="I27" s="267" t="s">
        <v>1073</v>
      </c>
      <c r="J27" s="267" t="s">
        <v>1073</v>
      </c>
      <c r="K27" s="267" t="s">
        <v>1073</v>
      </c>
      <c r="L27" s="263" t="s">
        <v>352</v>
      </c>
      <c r="M27" s="261" t="s">
        <v>296</v>
      </c>
      <c r="N27" s="259" t="s">
        <v>450</v>
      </c>
      <c r="O27" s="265" t="s">
        <v>296</v>
      </c>
      <c r="P27" s="263" t="s">
        <v>323</v>
      </c>
      <c r="Q27" s="259" t="s">
        <v>1073</v>
      </c>
      <c r="R27" s="259" t="s">
        <v>1073</v>
      </c>
      <c r="S27" s="259" t="s">
        <v>1073</v>
      </c>
      <c r="T27" s="259" t="s">
        <v>1073</v>
      </c>
      <c r="U27" s="259" t="s">
        <v>1073</v>
      </c>
      <c r="V27" s="259" t="s">
        <v>1073</v>
      </c>
      <c r="W27" s="259" t="s">
        <v>1073</v>
      </c>
      <c r="X27" s="259" t="s">
        <v>1073</v>
      </c>
      <c r="Y27" s="259" t="s">
        <v>1073</v>
      </c>
      <c r="Z27" s="259" t="s">
        <v>1073</v>
      </c>
      <c r="AA27" s="259" t="s">
        <v>1073</v>
      </c>
      <c r="AB27" s="259" t="s">
        <v>1073</v>
      </c>
      <c r="AC27" s="259" t="s">
        <v>1073</v>
      </c>
      <c r="AD27" s="259" t="s">
        <v>1073</v>
      </c>
      <c r="AE27" s="259" t="s">
        <v>1073</v>
      </c>
      <c r="AF27" s="259" t="s">
        <v>1073</v>
      </c>
      <c r="AG27" s="259" t="s">
        <v>1073</v>
      </c>
      <c r="AH27" s="259" t="s">
        <v>1073</v>
      </c>
      <c r="AI27" s="259" t="s">
        <v>1073</v>
      </c>
      <c r="AJ27" s="259" t="s">
        <v>1073</v>
      </c>
      <c r="AK27" s="259" t="s">
        <v>1073</v>
      </c>
      <c r="AL27" s="259" t="s">
        <v>1073</v>
      </c>
      <c r="AM27" s="259" t="s">
        <v>1073</v>
      </c>
      <c r="AN27" s="259" t="s">
        <v>1073</v>
      </c>
      <c r="AO27" s="259" t="s">
        <v>1073</v>
      </c>
      <c r="AP27" s="259" t="s">
        <v>1073</v>
      </c>
      <c r="AQ27" s="259" t="s">
        <v>1073</v>
      </c>
      <c r="AR27" s="259" t="s">
        <v>1073</v>
      </c>
      <c r="AS27" s="259" t="s">
        <v>1073</v>
      </c>
      <c r="AT27" s="259" t="s">
        <v>1073</v>
      </c>
      <c r="AU27" s="259" t="s">
        <v>1073</v>
      </c>
      <c r="AV27" s="95" t="s">
        <v>1073</v>
      </c>
      <c r="AW27" s="259" t="s">
        <v>1073</v>
      </c>
      <c r="AX27" s="95" t="s">
        <v>1073</v>
      </c>
      <c r="AY27" s="259" t="s">
        <v>1073</v>
      </c>
      <c r="AZ27" s="95" t="s">
        <v>1073</v>
      </c>
      <c r="BA27" s="95" t="s">
        <v>1073</v>
      </c>
      <c r="BB27" s="259" t="s">
        <v>1073</v>
      </c>
      <c r="BC27" s="95" t="s">
        <v>1073</v>
      </c>
      <c r="BD27" s="259" t="s">
        <v>1073</v>
      </c>
      <c r="BE27" s="95" t="s">
        <v>1073</v>
      </c>
      <c r="BF27" s="248">
        <v>25</v>
      </c>
      <c r="BG27" s="15"/>
      <c r="BH27" s="15"/>
      <c r="BI27" s="15"/>
      <c r="BJ27" s="15"/>
    </row>
    <row r="28" spans="1:62" ht="12.75">
      <c r="A28" s="247">
        <v>26</v>
      </c>
      <c r="B28" s="193" t="str">
        <f>HLOOKUP($D$1,$D$2:$BE$60,27)</f>
        <v> </v>
      </c>
      <c r="C28" s="194" t="str">
        <f>HLOOKUP($D$1,$D$2:$BE$60,57)</f>
        <v> </v>
      </c>
      <c r="D28" s="259" t="s">
        <v>1073</v>
      </c>
      <c r="E28" s="267" t="s">
        <v>1073</v>
      </c>
      <c r="F28" s="267" t="s">
        <v>1073</v>
      </c>
      <c r="G28" s="267" t="s">
        <v>1073</v>
      </c>
      <c r="H28" s="267" t="s">
        <v>1073</v>
      </c>
      <c r="I28" s="267" t="s">
        <v>1073</v>
      </c>
      <c r="J28" s="267" t="s">
        <v>1073</v>
      </c>
      <c r="K28" s="267" t="s">
        <v>1073</v>
      </c>
      <c r="L28" s="263" t="s">
        <v>353</v>
      </c>
      <c r="M28" s="261" t="s">
        <v>302</v>
      </c>
      <c r="N28" s="259" t="s">
        <v>342</v>
      </c>
      <c r="O28" s="265" t="s">
        <v>302</v>
      </c>
      <c r="P28" s="263" t="s">
        <v>326</v>
      </c>
      <c r="Q28" s="259" t="s">
        <v>1073</v>
      </c>
      <c r="R28" s="259" t="s">
        <v>1073</v>
      </c>
      <c r="S28" s="259" t="s">
        <v>1073</v>
      </c>
      <c r="T28" s="259" t="s">
        <v>1073</v>
      </c>
      <c r="U28" s="259" t="s">
        <v>1073</v>
      </c>
      <c r="V28" s="259" t="s">
        <v>1073</v>
      </c>
      <c r="W28" s="259" t="s">
        <v>1073</v>
      </c>
      <c r="X28" s="259" t="s">
        <v>1073</v>
      </c>
      <c r="Y28" s="259" t="s">
        <v>1073</v>
      </c>
      <c r="Z28" s="259" t="s">
        <v>1073</v>
      </c>
      <c r="AA28" s="259" t="s">
        <v>1073</v>
      </c>
      <c r="AB28" s="259" t="s">
        <v>1073</v>
      </c>
      <c r="AC28" s="259" t="s">
        <v>1073</v>
      </c>
      <c r="AD28" s="259" t="s">
        <v>1073</v>
      </c>
      <c r="AE28" s="259" t="s">
        <v>1073</v>
      </c>
      <c r="AF28" s="259" t="s">
        <v>1073</v>
      </c>
      <c r="AG28" s="259" t="s">
        <v>1073</v>
      </c>
      <c r="AH28" s="259" t="s">
        <v>1073</v>
      </c>
      <c r="AI28" s="259" t="s">
        <v>1073</v>
      </c>
      <c r="AJ28" s="259" t="s">
        <v>1073</v>
      </c>
      <c r="AK28" s="259" t="s">
        <v>1073</v>
      </c>
      <c r="AL28" s="259" t="s">
        <v>1073</v>
      </c>
      <c r="AM28" s="259" t="s">
        <v>1073</v>
      </c>
      <c r="AN28" s="259" t="s">
        <v>1073</v>
      </c>
      <c r="AO28" s="259" t="s">
        <v>1073</v>
      </c>
      <c r="AP28" s="259" t="s">
        <v>1073</v>
      </c>
      <c r="AQ28" s="259" t="s">
        <v>1073</v>
      </c>
      <c r="AR28" s="259" t="s">
        <v>1073</v>
      </c>
      <c r="AS28" s="259" t="s">
        <v>1073</v>
      </c>
      <c r="AT28" s="259" t="s">
        <v>1073</v>
      </c>
      <c r="AU28" s="259" t="s">
        <v>1073</v>
      </c>
      <c r="AV28" s="95" t="s">
        <v>1073</v>
      </c>
      <c r="AW28" s="259" t="s">
        <v>1073</v>
      </c>
      <c r="AX28" s="95" t="s">
        <v>1073</v>
      </c>
      <c r="AY28" s="259" t="s">
        <v>1073</v>
      </c>
      <c r="AZ28" s="95" t="s">
        <v>1073</v>
      </c>
      <c r="BA28" s="95" t="s">
        <v>1073</v>
      </c>
      <c r="BB28" s="259" t="s">
        <v>1073</v>
      </c>
      <c r="BC28" s="95" t="s">
        <v>1073</v>
      </c>
      <c r="BD28" s="259" t="s">
        <v>1073</v>
      </c>
      <c r="BE28" s="95" t="s">
        <v>1073</v>
      </c>
      <c r="BF28" s="248">
        <v>26</v>
      </c>
      <c r="BG28" s="15"/>
      <c r="BH28" s="15"/>
      <c r="BI28" s="15"/>
      <c r="BJ28" s="15"/>
    </row>
    <row r="29" spans="1:62" ht="12.75">
      <c r="A29" s="247">
        <v>27</v>
      </c>
      <c r="B29" s="193" t="str">
        <f>HLOOKUP($D$1,$D$2:$BE$60,28)</f>
        <v> </v>
      </c>
      <c r="C29" s="194" t="str">
        <f>HLOOKUP($D$1,$D$2:$BE$60,58)</f>
        <v> </v>
      </c>
      <c r="D29" s="259" t="s">
        <v>1073</v>
      </c>
      <c r="E29" s="267" t="s">
        <v>1073</v>
      </c>
      <c r="F29" s="267" t="s">
        <v>1073</v>
      </c>
      <c r="G29" s="267" t="s">
        <v>1073</v>
      </c>
      <c r="H29" s="267" t="s">
        <v>1073</v>
      </c>
      <c r="I29" s="267" t="s">
        <v>1073</v>
      </c>
      <c r="J29" s="267" t="s">
        <v>1073</v>
      </c>
      <c r="K29" s="267" t="s">
        <v>1073</v>
      </c>
      <c r="L29" s="263" t="s">
        <v>356</v>
      </c>
      <c r="M29" s="261" t="s">
        <v>293</v>
      </c>
      <c r="N29" s="259" t="s">
        <v>434</v>
      </c>
      <c r="O29" s="265" t="s">
        <v>293</v>
      </c>
      <c r="P29" s="263" t="s">
        <v>293</v>
      </c>
      <c r="Q29" s="259" t="s">
        <v>1073</v>
      </c>
      <c r="R29" s="259" t="s">
        <v>1073</v>
      </c>
      <c r="S29" s="259" t="s">
        <v>1073</v>
      </c>
      <c r="T29" s="259" t="s">
        <v>1073</v>
      </c>
      <c r="U29" s="259" t="s">
        <v>1073</v>
      </c>
      <c r="V29" s="259" t="s">
        <v>1073</v>
      </c>
      <c r="W29" s="259" t="s">
        <v>1073</v>
      </c>
      <c r="X29" s="259" t="s">
        <v>1073</v>
      </c>
      <c r="Y29" s="259" t="s">
        <v>1073</v>
      </c>
      <c r="Z29" s="259" t="s">
        <v>1073</v>
      </c>
      <c r="AA29" s="259" t="s">
        <v>1073</v>
      </c>
      <c r="AB29" s="259" t="s">
        <v>1073</v>
      </c>
      <c r="AC29" s="259" t="s">
        <v>1073</v>
      </c>
      <c r="AD29" s="259" t="s">
        <v>1073</v>
      </c>
      <c r="AE29" s="259" t="s">
        <v>1073</v>
      </c>
      <c r="AF29" s="259" t="s">
        <v>1073</v>
      </c>
      <c r="AG29" s="259" t="s">
        <v>1073</v>
      </c>
      <c r="AH29" s="259" t="s">
        <v>1073</v>
      </c>
      <c r="AI29" s="259" t="s">
        <v>1073</v>
      </c>
      <c r="AJ29" s="259" t="s">
        <v>1073</v>
      </c>
      <c r="AK29" s="259" t="s">
        <v>1073</v>
      </c>
      <c r="AL29" s="259" t="s">
        <v>1073</v>
      </c>
      <c r="AM29" s="259" t="s">
        <v>1073</v>
      </c>
      <c r="AN29" s="259" t="s">
        <v>1073</v>
      </c>
      <c r="AO29" s="259" t="s">
        <v>1073</v>
      </c>
      <c r="AP29" s="259" t="s">
        <v>1073</v>
      </c>
      <c r="AQ29" s="259" t="s">
        <v>1073</v>
      </c>
      <c r="AR29" s="259" t="s">
        <v>1073</v>
      </c>
      <c r="AS29" s="259" t="s">
        <v>1073</v>
      </c>
      <c r="AT29" s="259" t="s">
        <v>1073</v>
      </c>
      <c r="AU29" s="259" t="s">
        <v>1073</v>
      </c>
      <c r="AV29" s="95" t="s">
        <v>1073</v>
      </c>
      <c r="AW29" s="259" t="s">
        <v>1073</v>
      </c>
      <c r="AX29" s="95" t="s">
        <v>1073</v>
      </c>
      <c r="AY29" s="259" t="s">
        <v>1073</v>
      </c>
      <c r="AZ29" s="95" t="s">
        <v>1073</v>
      </c>
      <c r="BA29" s="95" t="s">
        <v>1073</v>
      </c>
      <c r="BB29" s="259" t="s">
        <v>1073</v>
      </c>
      <c r="BC29" s="95" t="s">
        <v>1073</v>
      </c>
      <c r="BD29" s="259" t="s">
        <v>1073</v>
      </c>
      <c r="BE29" s="95" t="s">
        <v>1073</v>
      </c>
      <c r="BF29" s="248">
        <v>27</v>
      </c>
      <c r="BG29" s="15"/>
      <c r="BH29" s="15"/>
      <c r="BI29" s="15"/>
      <c r="BJ29" s="15"/>
    </row>
    <row r="30" spans="1:62" ht="12.75">
      <c r="A30" s="247">
        <v>28</v>
      </c>
      <c r="B30" s="193" t="str">
        <f>HLOOKUP($D$1,$D$2:$BE$60,29)</f>
        <v> </v>
      </c>
      <c r="C30" s="194" t="str">
        <f>HLOOKUP($D$1,$D$2:$BE$60,59)</f>
        <v> </v>
      </c>
      <c r="D30" s="259" t="s">
        <v>1073</v>
      </c>
      <c r="E30" s="267" t="s">
        <v>1073</v>
      </c>
      <c r="F30" s="267" t="s">
        <v>1073</v>
      </c>
      <c r="G30" s="267" t="s">
        <v>1073</v>
      </c>
      <c r="H30" s="267" t="s">
        <v>1073</v>
      </c>
      <c r="I30" s="267" t="s">
        <v>1073</v>
      </c>
      <c r="J30" s="267" t="s">
        <v>1073</v>
      </c>
      <c r="K30" s="267" t="s">
        <v>1073</v>
      </c>
      <c r="L30" s="263" t="s">
        <v>357</v>
      </c>
      <c r="M30" s="261" t="s">
        <v>298</v>
      </c>
      <c r="N30" s="259" t="s">
        <v>440</v>
      </c>
      <c r="O30" s="265" t="s">
        <v>298</v>
      </c>
      <c r="P30" s="263" t="s">
        <v>298</v>
      </c>
      <c r="Q30" s="259" t="s">
        <v>1073</v>
      </c>
      <c r="R30" s="259" t="s">
        <v>1073</v>
      </c>
      <c r="S30" s="259" t="s">
        <v>1073</v>
      </c>
      <c r="T30" s="259" t="s">
        <v>1073</v>
      </c>
      <c r="U30" s="259" t="s">
        <v>1073</v>
      </c>
      <c r="V30" s="259" t="s">
        <v>1073</v>
      </c>
      <c r="W30" s="259" t="s">
        <v>1073</v>
      </c>
      <c r="X30" s="259" t="s">
        <v>1073</v>
      </c>
      <c r="Y30" s="259" t="s">
        <v>1073</v>
      </c>
      <c r="Z30" s="259" t="s">
        <v>1073</v>
      </c>
      <c r="AA30" s="259" t="s">
        <v>1073</v>
      </c>
      <c r="AB30" s="259" t="s">
        <v>1073</v>
      </c>
      <c r="AC30" s="259" t="s">
        <v>1073</v>
      </c>
      <c r="AD30" s="259" t="s">
        <v>1073</v>
      </c>
      <c r="AE30" s="259" t="s">
        <v>1073</v>
      </c>
      <c r="AF30" s="259" t="s">
        <v>1073</v>
      </c>
      <c r="AG30" s="259" t="s">
        <v>1073</v>
      </c>
      <c r="AH30" s="259" t="s">
        <v>1073</v>
      </c>
      <c r="AI30" s="259" t="s">
        <v>1073</v>
      </c>
      <c r="AJ30" s="259" t="s">
        <v>1073</v>
      </c>
      <c r="AK30" s="259" t="s">
        <v>1073</v>
      </c>
      <c r="AL30" s="259" t="s">
        <v>1073</v>
      </c>
      <c r="AM30" s="259" t="s">
        <v>1073</v>
      </c>
      <c r="AN30" s="259" t="s">
        <v>1073</v>
      </c>
      <c r="AO30" s="259" t="s">
        <v>1073</v>
      </c>
      <c r="AP30" s="259" t="s">
        <v>1073</v>
      </c>
      <c r="AQ30" s="259" t="s">
        <v>1073</v>
      </c>
      <c r="AR30" s="259" t="s">
        <v>1073</v>
      </c>
      <c r="AS30" s="259" t="s">
        <v>1073</v>
      </c>
      <c r="AT30" s="259" t="s">
        <v>1073</v>
      </c>
      <c r="AU30" s="259" t="s">
        <v>1073</v>
      </c>
      <c r="AV30" s="95" t="s">
        <v>1073</v>
      </c>
      <c r="AW30" s="259" t="s">
        <v>1073</v>
      </c>
      <c r="AX30" s="95" t="s">
        <v>1073</v>
      </c>
      <c r="AY30" s="259" t="s">
        <v>1073</v>
      </c>
      <c r="AZ30" s="95" t="s">
        <v>1073</v>
      </c>
      <c r="BA30" s="95" t="s">
        <v>1073</v>
      </c>
      <c r="BB30" s="259" t="s">
        <v>1073</v>
      </c>
      <c r="BC30" s="95" t="s">
        <v>1073</v>
      </c>
      <c r="BD30" s="259" t="s">
        <v>1073</v>
      </c>
      <c r="BE30" s="95" t="s">
        <v>1073</v>
      </c>
      <c r="BF30" s="248">
        <v>28</v>
      </c>
      <c r="BG30" s="15"/>
      <c r="BH30" s="15"/>
      <c r="BI30" s="15"/>
      <c r="BJ30" s="15"/>
    </row>
    <row r="31" spans="1:62" ht="12.75">
      <c r="A31" s="247">
        <v>29</v>
      </c>
      <c r="B31" s="193" t="str">
        <f>HLOOKUP($D$1,$D$2:$BE$60,30)</f>
        <v> </v>
      </c>
      <c r="C31" s="194" t="str">
        <f>HLOOKUP($D$1,$D$2:$BE$62,60)</f>
        <v> </v>
      </c>
      <c r="D31" s="259" t="s">
        <v>1073</v>
      </c>
      <c r="E31" s="267" t="s">
        <v>1073</v>
      </c>
      <c r="F31" s="267" t="s">
        <v>1073</v>
      </c>
      <c r="G31" s="267" t="s">
        <v>1073</v>
      </c>
      <c r="H31" s="267" t="s">
        <v>1073</v>
      </c>
      <c r="I31" s="267" t="s">
        <v>1073</v>
      </c>
      <c r="J31" s="267" t="s">
        <v>1073</v>
      </c>
      <c r="K31" s="267" t="s">
        <v>1073</v>
      </c>
      <c r="L31" s="263" t="s">
        <v>354</v>
      </c>
      <c r="M31" s="261" t="s">
        <v>294</v>
      </c>
      <c r="N31" s="259" t="s">
        <v>445</v>
      </c>
      <c r="O31" s="265" t="s">
        <v>294</v>
      </c>
      <c r="P31" s="263" t="s">
        <v>322</v>
      </c>
      <c r="Q31" s="259" t="s">
        <v>1073</v>
      </c>
      <c r="R31" s="259" t="s">
        <v>1073</v>
      </c>
      <c r="S31" s="259" t="s">
        <v>1073</v>
      </c>
      <c r="T31" s="259" t="s">
        <v>1073</v>
      </c>
      <c r="U31" s="259" t="s">
        <v>1073</v>
      </c>
      <c r="V31" s="259" t="s">
        <v>1073</v>
      </c>
      <c r="W31" s="259" t="s">
        <v>1073</v>
      </c>
      <c r="X31" s="259" t="s">
        <v>1073</v>
      </c>
      <c r="Y31" s="259" t="s">
        <v>1073</v>
      </c>
      <c r="Z31" s="259" t="s">
        <v>1073</v>
      </c>
      <c r="AA31" s="259" t="s">
        <v>1073</v>
      </c>
      <c r="AB31" s="259" t="s">
        <v>1073</v>
      </c>
      <c r="AC31" s="259" t="s">
        <v>1073</v>
      </c>
      <c r="AD31" s="259" t="s">
        <v>1073</v>
      </c>
      <c r="AE31" s="259" t="s">
        <v>1073</v>
      </c>
      <c r="AF31" s="259" t="s">
        <v>1073</v>
      </c>
      <c r="AG31" s="259" t="s">
        <v>1073</v>
      </c>
      <c r="AH31" s="259" t="s">
        <v>1073</v>
      </c>
      <c r="AI31" s="259" t="s">
        <v>1073</v>
      </c>
      <c r="AJ31" s="259" t="s">
        <v>1073</v>
      </c>
      <c r="AK31" s="259" t="s">
        <v>1073</v>
      </c>
      <c r="AL31" s="259" t="s">
        <v>1073</v>
      </c>
      <c r="AM31" s="259" t="s">
        <v>1073</v>
      </c>
      <c r="AN31" s="259" t="s">
        <v>1073</v>
      </c>
      <c r="AO31" s="259" t="s">
        <v>1073</v>
      </c>
      <c r="AP31" s="259" t="s">
        <v>1073</v>
      </c>
      <c r="AQ31" s="259" t="s">
        <v>1073</v>
      </c>
      <c r="AR31" s="259" t="s">
        <v>1073</v>
      </c>
      <c r="AS31" s="259" t="s">
        <v>1073</v>
      </c>
      <c r="AT31" s="259" t="s">
        <v>1073</v>
      </c>
      <c r="AU31" s="259" t="s">
        <v>1073</v>
      </c>
      <c r="AV31" s="95" t="s">
        <v>1073</v>
      </c>
      <c r="AW31" s="259" t="s">
        <v>1073</v>
      </c>
      <c r="AX31" s="95" t="s">
        <v>1073</v>
      </c>
      <c r="AY31" s="259" t="s">
        <v>1073</v>
      </c>
      <c r="AZ31" s="95" t="s">
        <v>1073</v>
      </c>
      <c r="BA31" s="95" t="s">
        <v>1073</v>
      </c>
      <c r="BB31" s="259" t="s">
        <v>1073</v>
      </c>
      <c r="BC31" s="95" t="s">
        <v>1073</v>
      </c>
      <c r="BD31" s="259" t="s">
        <v>1073</v>
      </c>
      <c r="BE31" s="95" t="s">
        <v>1073</v>
      </c>
      <c r="BF31" s="248">
        <v>29</v>
      </c>
      <c r="BG31" s="15"/>
      <c r="BH31" s="15"/>
      <c r="BI31" s="15"/>
      <c r="BJ31" s="15"/>
    </row>
    <row r="32" spans="1:62" ht="12.75">
      <c r="A32" s="247">
        <v>30</v>
      </c>
      <c r="B32" s="195" t="str">
        <f>HLOOKUP($D$1,$D$2:$BE$60,31)</f>
        <v> </v>
      </c>
      <c r="C32" s="196" t="str">
        <f>HLOOKUP($D$1,$D$2:$BE$62,61)</f>
        <v> </v>
      </c>
      <c r="D32" s="249" t="s">
        <v>1073</v>
      </c>
      <c r="E32" s="249" t="s">
        <v>1073</v>
      </c>
      <c r="F32" s="249" t="s">
        <v>1073</v>
      </c>
      <c r="G32" s="249" t="s">
        <v>1073</v>
      </c>
      <c r="H32" s="249" t="s">
        <v>1073</v>
      </c>
      <c r="I32" s="249" t="s">
        <v>1073</v>
      </c>
      <c r="J32" s="249" t="s">
        <v>1073</v>
      </c>
      <c r="K32" s="249" t="s">
        <v>1073</v>
      </c>
      <c r="L32" s="243" t="s">
        <v>355</v>
      </c>
      <c r="M32" s="245" t="s">
        <v>301</v>
      </c>
      <c r="N32" s="244" t="s">
        <v>451</v>
      </c>
      <c r="O32" s="246" t="s">
        <v>301</v>
      </c>
      <c r="P32" s="242" t="s">
        <v>325</v>
      </c>
      <c r="Q32" s="249" t="s">
        <v>1073</v>
      </c>
      <c r="R32" s="249" t="s">
        <v>1073</v>
      </c>
      <c r="S32" s="249" t="s">
        <v>1073</v>
      </c>
      <c r="T32" s="249" t="s">
        <v>1073</v>
      </c>
      <c r="U32" s="249" t="s">
        <v>1073</v>
      </c>
      <c r="V32" s="249" t="s">
        <v>1073</v>
      </c>
      <c r="W32" s="249" t="s">
        <v>1073</v>
      </c>
      <c r="X32" s="249" t="s">
        <v>1073</v>
      </c>
      <c r="Y32" s="249" t="s">
        <v>1073</v>
      </c>
      <c r="Z32" s="249" t="s">
        <v>1073</v>
      </c>
      <c r="AA32" s="249" t="s">
        <v>1073</v>
      </c>
      <c r="AB32" s="249" t="s">
        <v>1073</v>
      </c>
      <c r="AC32" s="249" t="s">
        <v>1073</v>
      </c>
      <c r="AD32" s="249" t="s">
        <v>1073</v>
      </c>
      <c r="AE32" s="249" t="s">
        <v>1073</v>
      </c>
      <c r="AF32" s="249" t="s">
        <v>1073</v>
      </c>
      <c r="AG32" s="249" t="s">
        <v>1073</v>
      </c>
      <c r="AH32" s="249" t="s">
        <v>1073</v>
      </c>
      <c r="AI32" s="249" t="s">
        <v>1073</v>
      </c>
      <c r="AJ32" s="249" t="s">
        <v>1073</v>
      </c>
      <c r="AK32" s="249" t="s">
        <v>1073</v>
      </c>
      <c r="AL32" s="249" t="s">
        <v>1073</v>
      </c>
      <c r="AM32" s="249" t="s">
        <v>1073</v>
      </c>
      <c r="AN32" s="249" t="s">
        <v>1073</v>
      </c>
      <c r="AO32" s="249" t="s">
        <v>1073</v>
      </c>
      <c r="AP32" s="249" t="s">
        <v>1073</v>
      </c>
      <c r="AQ32" s="249" t="s">
        <v>1073</v>
      </c>
      <c r="AR32" s="249" t="s">
        <v>1073</v>
      </c>
      <c r="AS32" s="249" t="s">
        <v>1073</v>
      </c>
      <c r="AT32" s="249" t="s">
        <v>1073</v>
      </c>
      <c r="AU32" s="249" t="s">
        <v>1073</v>
      </c>
      <c r="AV32" s="100" t="s">
        <v>1073</v>
      </c>
      <c r="AW32" s="249" t="s">
        <v>1073</v>
      </c>
      <c r="AX32" s="100" t="s">
        <v>1073</v>
      </c>
      <c r="AY32" s="249" t="s">
        <v>1073</v>
      </c>
      <c r="AZ32" s="100" t="s">
        <v>1073</v>
      </c>
      <c r="BA32" s="100" t="s">
        <v>1073</v>
      </c>
      <c r="BB32" s="249" t="s">
        <v>1073</v>
      </c>
      <c r="BC32" s="100" t="s">
        <v>1073</v>
      </c>
      <c r="BD32" s="249" t="s">
        <v>1073</v>
      </c>
      <c r="BE32" s="100" t="s">
        <v>1073</v>
      </c>
      <c r="BF32" s="248">
        <v>30</v>
      </c>
      <c r="BG32" s="15"/>
      <c r="BH32" s="15"/>
      <c r="BI32" s="15"/>
      <c r="BJ32" s="15"/>
    </row>
    <row r="33" spans="1:62" ht="12.75">
      <c r="A33" s="247">
        <v>31</v>
      </c>
      <c r="B33" s="30"/>
      <c r="C33" s="32"/>
      <c r="D33" s="23" t="s">
        <v>558</v>
      </c>
      <c r="E33" s="70" t="s">
        <v>555</v>
      </c>
      <c r="F33" s="70" t="s">
        <v>552</v>
      </c>
      <c r="G33" s="70" t="s">
        <v>549</v>
      </c>
      <c r="H33" s="70" t="s">
        <v>549</v>
      </c>
      <c r="I33" s="70" t="s">
        <v>549</v>
      </c>
      <c r="J33" s="70" t="s">
        <v>549</v>
      </c>
      <c r="K33" s="70" t="s">
        <v>124</v>
      </c>
      <c r="L33" s="70" t="s">
        <v>118</v>
      </c>
      <c r="M33" s="70" t="s">
        <v>121</v>
      </c>
      <c r="N33" s="200" t="s">
        <v>279</v>
      </c>
      <c r="O33" s="70" t="s">
        <v>121</v>
      </c>
      <c r="P33" s="70" t="s">
        <v>121</v>
      </c>
      <c r="Q33" s="70" t="s">
        <v>336</v>
      </c>
      <c r="R33" s="70" t="s">
        <v>336</v>
      </c>
      <c r="S33" s="70" t="s">
        <v>995</v>
      </c>
      <c r="T33" s="70" t="s">
        <v>336</v>
      </c>
      <c r="U33" s="70" t="s">
        <v>336</v>
      </c>
      <c r="V33" s="70" t="s">
        <v>336</v>
      </c>
      <c r="W33" s="41" t="s">
        <v>1015</v>
      </c>
      <c r="X33" s="41" t="s">
        <v>1015</v>
      </c>
      <c r="Y33" s="41" t="s">
        <v>1015</v>
      </c>
      <c r="Z33" s="41" t="s">
        <v>1015</v>
      </c>
      <c r="AA33" s="41" t="s">
        <v>1015</v>
      </c>
      <c r="AB33" s="41" t="s">
        <v>1015</v>
      </c>
      <c r="AC33" s="41" t="s">
        <v>1015</v>
      </c>
      <c r="AD33" s="41" t="s">
        <v>1015</v>
      </c>
      <c r="AE33" s="41" t="s">
        <v>1015</v>
      </c>
      <c r="AF33" s="41" t="s">
        <v>1015</v>
      </c>
      <c r="AG33" s="41" t="s">
        <v>1015</v>
      </c>
      <c r="AH33" s="41" t="s">
        <v>1015</v>
      </c>
      <c r="AI33" s="41" t="s">
        <v>827</v>
      </c>
      <c r="AJ33" s="41" t="s">
        <v>770</v>
      </c>
      <c r="AK33" s="41" t="s">
        <v>1044</v>
      </c>
      <c r="AL33" s="70" t="s">
        <v>113</v>
      </c>
      <c r="AM33" s="41" t="s">
        <v>410</v>
      </c>
      <c r="AN33" s="70" t="s">
        <v>113</v>
      </c>
      <c r="AO33" s="70" t="s">
        <v>113</v>
      </c>
      <c r="AP33" s="41" t="s">
        <v>489</v>
      </c>
      <c r="AQ33" s="41" t="s">
        <v>194</v>
      </c>
      <c r="AR33" s="70" t="s">
        <v>113</v>
      </c>
      <c r="AS33" s="70" t="s">
        <v>113</v>
      </c>
      <c r="AT33" s="70" t="s">
        <v>113</v>
      </c>
      <c r="AU33" s="70" t="s">
        <v>113</v>
      </c>
      <c r="AV33" s="273" t="s">
        <v>113</v>
      </c>
      <c r="AW33" s="41" t="s">
        <v>934</v>
      </c>
      <c r="AX33" s="273" t="s">
        <v>113</v>
      </c>
      <c r="AY33" s="70" t="s">
        <v>113</v>
      </c>
      <c r="AZ33" s="273" t="s">
        <v>113</v>
      </c>
      <c r="BA33" s="273" t="s">
        <v>113</v>
      </c>
      <c r="BB33" s="41" t="s">
        <v>579</v>
      </c>
      <c r="BC33" s="273" t="s">
        <v>113</v>
      </c>
      <c r="BD33" s="70" t="s">
        <v>113</v>
      </c>
      <c r="BE33" s="273" t="s">
        <v>113</v>
      </c>
      <c r="BF33" s="248">
        <v>1</v>
      </c>
      <c r="BG33" s="15"/>
      <c r="BH33" s="15"/>
      <c r="BI33" s="15"/>
      <c r="BJ33" s="15"/>
    </row>
    <row r="34" spans="1:62" ht="12.75">
      <c r="A34" s="247">
        <v>32</v>
      </c>
      <c r="B34" s="30"/>
      <c r="C34" s="32"/>
      <c r="D34" s="23" t="s">
        <v>113</v>
      </c>
      <c r="E34" s="62" t="s">
        <v>555</v>
      </c>
      <c r="F34" s="62" t="s">
        <v>552</v>
      </c>
      <c r="G34" s="62" t="s">
        <v>549</v>
      </c>
      <c r="H34" s="62" t="s">
        <v>549</v>
      </c>
      <c r="I34" s="61" t="s">
        <v>113</v>
      </c>
      <c r="J34" s="61" t="s">
        <v>113</v>
      </c>
      <c r="K34" s="62" t="s">
        <v>113</v>
      </c>
      <c r="L34" s="62" t="s">
        <v>113</v>
      </c>
      <c r="M34" s="62" t="s">
        <v>121</v>
      </c>
      <c r="N34" s="62" t="s">
        <v>279</v>
      </c>
      <c r="O34" s="62" t="s">
        <v>121</v>
      </c>
      <c r="P34" s="62" t="s">
        <v>121</v>
      </c>
      <c r="Q34" s="62" t="s">
        <v>336</v>
      </c>
      <c r="R34" s="62" t="s">
        <v>336</v>
      </c>
      <c r="S34" s="62" t="s">
        <v>995</v>
      </c>
      <c r="T34" s="62" t="s">
        <v>336</v>
      </c>
      <c r="U34" s="62" t="s">
        <v>336</v>
      </c>
      <c r="V34" s="62" t="s">
        <v>336</v>
      </c>
      <c r="W34" s="61" t="s">
        <v>1016</v>
      </c>
      <c r="X34" s="61" t="s">
        <v>1016</v>
      </c>
      <c r="Y34" s="61" t="s">
        <v>1016</v>
      </c>
      <c r="Z34" s="61" t="s">
        <v>1016</v>
      </c>
      <c r="AA34" s="61" t="s">
        <v>1016</v>
      </c>
      <c r="AB34" s="61" t="s">
        <v>1016</v>
      </c>
      <c r="AC34" s="61" t="s">
        <v>1016</v>
      </c>
      <c r="AD34" s="61" t="s">
        <v>1016</v>
      </c>
      <c r="AE34" s="61" t="s">
        <v>1016</v>
      </c>
      <c r="AF34" s="61" t="s">
        <v>1016</v>
      </c>
      <c r="AG34" s="61" t="s">
        <v>1016</v>
      </c>
      <c r="AH34" s="61" t="s">
        <v>1016</v>
      </c>
      <c r="AI34" s="61" t="s">
        <v>827</v>
      </c>
      <c r="AJ34" s="61" t="s">
        <v>770</v>
      </c>
      <c r="AK34" s="61" t="s">
        <v>1044</v>
      </c>
      <c r="AL34" s="61" t="s">
        <v>1044</v>
      </c>
      <c r="AM34" s="61" t="s">
        <v>410</v>
      </c>
      <c r="AN34" s="61" t="s">
        <v>410</v>
      </c>
      <c r="AO34" s="61" t="s">
        <v>770</v>
      </c>
      <c r="AP34" s="61" t="s">
        <v>489</v>
      </c>
      <c r="AQ34" s="61" t="s">
        <v>194</v>
      </c>
      <c r="AR34" s="61" t="s">
        <v>410</v>
      </c>
      <c r="AS34" s="61" t="s">
        <v>410</v>
      </c>
      <c r="AT34" s="61" t="s">
        <v>194</v>
      </c>
      <c r="AU34" s="61" t="s">
        <v>194</v>
      </c>
      <c r="AV34" s="274" t="s">
        <v>410</v>
      </c>
      <c r="AW34" s="61" t="s">
        <v>934</v>
      </c>
      <c r="AX34" s="274" t="s">
        <v>410</v>
      </c>
      <c r="AY34" s="61" t="s">
        <v>194</v>
      </c>
      <c r="AZ34" s="274" t="s">
        <v>410</v>
      </c>
      <c r="BA34" s="274" t="s">
        <v>410</v>
      </c>
      <c r="BB34" s="61" t="s">
        <v>579</v>
      </c>
      <c r="BC34" s="61" t="s">
        <v>579</v>
      </c>
      <c r="BD34" s="61" t="s">
        <v>579</v>
      </c>
      <c r="BE34" s="61" t="s">
        <v>155</v>
      </c>
      <c r="BF34" s="248">
        <v>2</v>
      </c>
      <c r="BG34" s="15"/>
      <c r="BH34" s="15"/>
      <c r="BI34" s="15"/>
      <c r="BJ34" s="15"/>
    </row>
    <row r="35" spans="1:62" ht="12.75">
      <c r="A35" s="247">
        <v>33</v>
      </c>
      <c r="B35" s="30"/>
      <c r="C35" s="32"/>
      <c r="D35" s="86" t="s">
        <v>1073</v>
      </c>
      <c r="E35" s="62" t="s">
        <v>113</v>
      </c>
      <c r="F35" s="62" t="s">
        <v>113</v>
      </c>
      <c r="G35" s="62" t="s">
        <v>113</v>
      </c>
      <c r="H35" s="61" t="s">
        <v>549</v>
      </c>
      <c r="I35" s="61" t="s">
        <v>551</v>
      </c>
      <c r="J35" s="61" t="s">
        <v>551</v>
      </c>
      <c r="K35" s="62" t="s">
        <v>121</v>
      </c>
      <c r="L35" s="62" t="s">
        <v>120</v>
      </c>
      <c r="M35" s="62" t="s">
        <v>121</v>
      </c>
      <c r="N35" s="62" t="s">
        <v>279</v>
      </c>
      <c r="O35" s="62" t="s">
        <v>121</v>
      </c>
      <c r="P35" s="62" t="s">
        <v>121</v>
      </c>
      <c r="Q35" s="62" t="s">
        <v>336</v>
      </c>
      <c r="R35" s="62" t="s">
        <v>336</v>
      </c>
      <c r="S35" s="62" t="s">
        <v>996</v>
      </c>
      <c r="T35" s="62" t="s">
        <v>336</v>
      </c>
      <c r="U35" s="62" t="s">
        <v>338</v>
      </c>
      <c r="V35" s="62" t="s">
        <v>338</v>
      </c>
      <c r="W35" s="61" t="s">
        <v>1052</v>
      </c>
      <c r="X35" s="61" t="s">
        <v>1052</v>
      </c>
      <c r="Y35" s="61" t="s">
        <v>1052</v>
      </c>
      <c r="Z35" s="61" t="s">
        <v>1052</v>
      </c>
      <c r="AA35" s="61" t="s">
        <v>1052</v>
      </c>
      <c r="AB35" s="61" t="s">
        <v>1052</v>
      </c>
      <c r="AC35" s="61" t="s">
        <v>1052</v>
      </c>
      <c r="AD35" s="61" t="s">
        <v>1052</v>
      </c>
      <c r="AE35" s="61" t="s">
        <v>1052</v>
      </c>
      <c r="AF35" s="61" t="s">
        <v>1052</v>
      </c>
      <c r="AG35" s="61" t="s">
        <v>1052</v>
      </c>
      <c r="AH35" s="61" t="s">
        <v>1052</v>
      </c>
      <c r="AI35" s="61" t="s">
        <v>827</v>
      </c>
      <c r="AJ35" s="61" t="s">
        <v>770</v>
      </c>
      <c r="AK35" s="61" t="s">
        <v>1044</v>
      </c>
      <c r="AL35" s="61" t="s">
        <v>1044</v>
      </c>
      <c r="AM35" s="61" t="s">
        <v>410</v>
      </c>
      <c r="AN35" s="61" t="s">
        <v>410</v>
      </c>
      <c r="AO35" s="61" t="s">
        <v>770</v>
      </c>
      <c r="AP35" s="61" t="s">
        <v>489</v>
      </c>
      <c r="AQ35" s="61" t="s">
        <v>194</v>
      </c>
      <c r="AR35" s="61" t="s">
        <v>410</v>
      </c>
      <c r="AS35" s="61" t="s">
        <v>410</v>
      </c>
      <c r="AT35" s="61" t="s">
        <v>194</v>
      </c>
      <c r="AU35" s="61" t="s">
        <v>194</v>
      </c>
      <c r="AV35" s="274" t="s">
        <v>410</v>
      </c>
      <c r="AW35" s="61" t="s">
        <v>934</v>
      </c>
      <c r="AX35" s="274" t="s">
        <v>410</v>
      </c>
      <c r="AY35" s="61" t="s">
        <v>194</v>
      </c>
      <c r="AZ35" s="274" t="s">
        <v>410</v>
      </c>
      <c r="BA35" s="274" t="s">
        <v>410</v>
      </c>
      <c r="BB35" s="61" t="s">
        <v>579</v>
      </c>
      <c r="BC35" s="61" t="s">
        <v>579</v>
      </c>
      <c r="BD35" s="61" t="s">
        <v>579</v>
      </c>
      <c r="BE35" s="61" t="s">
        <v>579</v>
      </c>
      <c r="BF35" s="248">
        <v>3</v>
      </c>
      <c r="BG35" s="15"/>
      <c r="BH35" s="15"/>
      <c r="BI35" s="15"/>
      <c r="BJ35" s="15"/>
    </row>
    <row r="36" spans="1:62" ht="12.75">
      <c r="A36" s="247">
        <v>34</v>
      </c>
      <c r="B36" s="30"/>
      <c r="C36" s="32"/>
      <c r="D36" s="86" t="s">
        <v>1073</v>
      </c>
      <c r="E36" s="62" t="s">
        <v>113</v>
      </c>
      <c r="F36" s="62" t="s">
        <v>113</v>
      </c>
      <c r="G36" s="62" t="s">
        <v>113</v>
      </c>
      <c r="H36" s="62" t="s">
        <v>113</v>
      </c>
      <c r="I36" s="62" t="s">
        <v>113</v>
      </c>
      <c r="J36" s="62" t="s">
        <v>113</v>
      </c>
      <c r="K36" s="62" t="s">
        <v>121</v>
      </c>
      <c r="L36" s="62" t="s">
        <v>113</v>
      </c>
      <c r="M36" s="62" t="s">
        <v>113</v>
      </c>
      <c r="N36" s="62" t="s">
        <v>279</v>
      </c>
      <c r="O36" s="62" t="s">
        <v>113</v>
      </c>
      <c r="P36" s="62" t="s">
        <v>336</v>
      </c>
      <c r="Q36" s="62" t="s">
        <v>338</v>
      </c>
      <c r="R36" s="62" t="s">
        <v>338</v>
      </c>
      <c r="S36" s="62" t="s">
        <v>996</v>
      </c>
      <c r="T36" s="62" t="s">
        <v>338</v>
      </c>
      <c r="U36" s="62" t="s">
        <v>338</v>
      </c>
      <c r="V36" s="62" t="s">
        <v>338</v>
      </c>
      <c r="W36" s="61" t="s">
        <v>1017</v>
      </c>
      <c r="X36" s="61" t="s">
        <v>505</v>
      </c>
      <c r="Y36" s="61" t="s">
        <v>505</v>
      </c>
      <c r="Z36" s="61" t="s">
        <v>735</v>
      </c>
      <c r="AA36" s="61" t="s">
        <v>750</v>
      </c>
      <c r="AB36" s="61" t="s">
        <v>750</v>
      </c>
      <c r="AC36" s="61" t="s">
        <v>750</v>
      </c>
      <c r="AD36" s="61" t="s">
        <v>750</v>
      </c>
      <c r="AE36" s="61" t="s">
        <v>750</v>
      </c>
      <c r="AF36" s="61" t="s">
        <v>750</v>
      </c>
      <c r="AG36" s="61" t="s">
        <v>813</v>
      </c>
      <c r="AH36" s="61" t="s">
        <v>813</v>
      </c>
      <c r="AI36" s="61" t="s">
        <v>827</v>
      </c>
      <c r="AJ36" s="61" t="s">
        <v>770</v>
      </c>
      <c r="AK36" s="61" t="s">
        <v>1044</v>
      </c>
      <c r="AL36" s="61" t="s">
        <v>1044</v>
      </c>
      <c r="AM36" s="61" t="s">
        <v>410</v>
      </c>
      <c r="AN36" s="61" t="s">
        <v>410</v>
      </c>
      <c r="AO36" s="61" t="s">
        <v>770</v>
      </c>
      <c r="AP36" s="61" t="s">
        <v>489</v>
      </c>
      <c r="AQ36" s="61" t="s">
        <v>194</v>
      </c>
      <c r="AR36" s="61" t="s">
        <v>410</v>
      </c>
      <c r="AS36" s="61" t="s">
        <v>410</v>
      </c>
      <c r="AT36" s="61" t="s">
        <v>195</v>
      </c>
      <c r="AU36" s="61" t="s">
        <v>195</v>
      </c>
      <c r="AV36" s="274" t="s">
        <v>410</v>
      </c>
      <c r="AW36" s="61" t="s">
        <v>934</v>
      </c>
      <c r="AX36" s="274" t="s">
        <v>410</v>
      </c>
      <c r="AY36" s="61" t="s">
        <v>195</v>
      </c>
      <c r="AZ36" s="274" t="s">
        <v>410</v>
      </c>
      <c r="BA36" s="274" t="s">
        <v>410</v>
      </c>
      <c r="BB36" s="61" t="s">
        <v>579</v>
      </c>
      <c r="BC36" s="61" t="s">
        <v>579</v>
      </c>
      <c r="BD36" s="61" t="s">
        <v>683</v>
      </c>
      <c r="BE36" s="61" t="s">
        <v>579</v>
      </c>
      <c r="BF36" s="248">
        <v>4</v>
      </c>
      <c r="BG36" s="15"/>
      <c r="BH36" s="15"/>
      <c r="BI36" s="15"/>
      <c r="BJ36" s="15"/>
    </row>
    <row r="37" spans="1:62" ht="12.75">
      <c r="A37" s="247">
        <v>35</v>
      </c>
      <c r="B37" s="30"/>
      <c r="C37" s="32"/>
      <c r="D37" s="86" t="s">
        <v>1073</v>
      </c>
      <c r="E37" s="62" t="s">
        <v>557</v>
      </c>
      <c r="F37" s="62" t="s">
        <v>554</v>
      </c>
      <c r="G37" s="62" t="s">
        <v>551</v>
      </c>
      <c r="H37" s="62" t="s">
        <v>113</v>
      </c>
      <c r="I37" s="61" t="s">
        <v>550</v>
      </c>
      <c r="J37" s="61" t="s">
        <v>550</v>
      </c>
      <c r="K37" s="61" t="s">
        <v>336</v>
      </c>
      <c r="L37" s="62" t="s">
        <v>119</v>
      </c>
      <c r="M37" s="62" t="s">
        <v>113</v>
      </c>
      <c r="N37" s="62" t="s">
        <v>279</v>
      </c>
      <c r="O37" s="62" t="s">
        <v>113</v>
      </c>
      <c r="P37" s="62" t="s">
        <v>336</v>
      </c>
      <c r="Q37" s="62" t="s">
        <v>338</v>
      </c>
      <c r="R37" s="62" t="s">
        <v>338</v>
      </c>
      <c r="S37" s="62" t="s">
        <v>997</v>
      </c>
      <c r="T37" s="62" t="s">
        <v>338</v>
      </c>
      <c r="U37" s="62" t="s">
        <v>337</v>
      </c>
      <c r="V37" s="62" t="s">
        <v>337</v>
      </c>
      <c r="W37" s="61" t="s">
        <v>1017</v>
      </c>
      <c r="X37" s="61" t="s">
        <v>505</v>
      </c>
      <c r="Y37" s="61" t="s">
        <v>506</v>
      </c>
      <c r="Z37" s="61" t="s">
        <v>735</v>
      </c>
      <c r="AA37" s="61" t="s">
        <v>750</v>
      </c>
      <c r="AB37" s="61" t="s">
        <v>849</v>
      </c>
      <c r="AC37" s="61" t="s">
        <v>780</v>
      </c>
      <c r="AD37" s="61" t="s">
        <v>803</v>
      </c>
      <c r="AE37" s="61" t="s">
        <v>803</v>
      </c>
      <c r="AF37" s="61" t="s">
        <v>803</v>
      </c>
      <c r="AG37" s="61" t="s">
        <v>813</v>
      </c>
      <c r="AH37" s="61" t="s">
        <v>824</v>
      </c>
      <c r="AI37" s="61" t="s">
        <v>827</v>
      </c>
      <c r="AJ37" s="61" t="s">
        <v>770</v>
      </c>
      <c r="AK37" s="61" t="s">
        <v>1044</v>
      </c>
      <c r="AL37" s="61" t="s">
        <v>1045</v>
      </c>
      <c r="AM37" s="61" t="s">
        <v>410</v>
      </c>
      <c r="AN37" s="61" t="s">
        <v>411</v>
      </c>
      <c r="AO37" s="61" t="s">
        <v>772</v>
      </c>
      <c r="AP37" s="61" t="s">
        <v>489</v>
      </c>
      <c r="AQ37" s="61" t="s">
        <v>194</v>
      </c>
      <c r="AR37" s="61" t="s">
        <v>411</v>
      </c>
      <c r="AS37" s="61" t="s">
        <v>411</v>
      </c>
      <c r="AT37" s="61" t="s">
        <v>195</v>
      </c>
      <c r="AU37" s="61" t="s">
        <v>195</v>
      </c>
      <c r="AV37" s="274" t="s">
        <v>411</v>
      </c>
      <c r="AW37" s="61" t="s">
        <v>934</v>
      </c>
      <c r="AX37" s="274" t="s">
        <v>411</v>
      </c>
      <c r="AY37" s="61" t="s">
        <v>195</v>
      </c>
      <c r="AZ37" s="274" t="s">
        <v>411</v>
      </c>
      <c r="BA37" s="274" t="s">
        <v>411</v>
      </c>
      <c r="BB37" s="61" t="s">
        <v>579</v>
      </c>
      <c r="BC37" s="61" t="s">
        <v>683</v>
      </c>
      <c r="BD37" s="61" t="s">
        <v>683</v>
      </c>
      <c r="BE37" s="61" t="s">
        <v>156</v>
      </c>
      <c r="BF37" s="248">
        <v>5</v>
      </c>
      <c r="BG37" s="15"/>
      <c r="BH37" s="15"/>
      <c r="BI37" s="15"/>
      <c r="BJ37" s="15"/>
    </row>
    <row r="38" spans="1:62" ht="12.75">
      <c r="A38" s="247">
        <v>36</v>
      </c>
      <c r="B38" s="30"/>
      <c r="C38" s="32"/>
      <c r="D38" s="86" t="s">
        <v>1073</v>
      </c>
      <c r="E38" s="62" t="s">
        <v>557</v>
      </c>
      <c r="F38" s="62" t="s">
        <v>554</v>
      </c>
      <c r="G38" s="62" t="s">
        <v>551</v>
      </c>
      <c r="H38" s="62" t="s">
        <v>113</v>
      </c>
      <c r="I38" s="62" t="s">
        <v>113</v>
      </c>
      <c r="J38" s="62" t="s">
        <v>113</v>
      </c>
      <c r="K38" s="61" t="s">
        <v>336</v>
      </c>
      <c r="L38" s="62" t="s">
        <v>113</v>
      </c>
      <c r="M38" s="62" t="s">
        <v>113</v>
      </c>
      <c r="N38" s="44" t="e">
        <f>IF(Configurator!#REF!=3,"MN","**")</f>
        <v>#REF!</v>
      </c>
      <c r="O38" s="62" t="s">
        <v>113</v>
      </c>
      <c r="P38" s="62" t="s">
        <v>336</v>
      </c>
      <c r="Q38" s="62" t="s">
        <v>338</v>
      </c>
      <c r="R38" s="62" t="s">
        <v>338</v>
      </c>
      <c r="S38" s="62" t="s">
        <v>997</v>
      </c>
      <c r="T38" s="62" t="s">
        <v>338</v>
      </c>
      <c r="U38" s="62" t="s">
        <v>337</v>
      </c>
      <c r="V38" s="62" t="s">
        <v>337</v>
      </c>
      <c r="W38" s="61" t="s">
        <v>1017</v>
      </c>
      <c r="X38" s="61" t="s">
        <v>505</v>
      </c>
      <c r="Y38" s="61" t="s">
        <v>507</v>
      </c>
      <c r="Z38" s="61" t="s">
        <v>735</v>
      </c>
      <c r="AA38" s="61" t="s">
        <v>750</v>
      </c>
      <c r="AB38" s="61" t="s">
        <v>849</v>
      </c>
      <c r="AC38" s="61" t="s">
        <v>780</v>
      </c>
      <c r="AD38" s="61" t="s">
        <v>803</v>
      </c>
      <c r="AE38" s="61" t="s">
        <v>813</v>
      </c>
      <c r="AF38" s="61" t="s">
        <v>824</v>
      </c>
      <c r="AG38" s="61" t="s">
        <v>824</v>
      </c>
      <c r="AH38" s="61" t="s">
        <v>824</v>
      </c>
      <c r="AI38" s="61" t="s">
        <v>829</v>
      </c>
      <c r="AJ38" s="61" t="s">
        <v>772</v>
      </c>
      <c r="AK38" s="61" t="s">
        <v>1045</v>
      </c>
      <c r="AL38" s="61" t="s">
        <v>1045</v>
      </c>
      <c r="AM38" s="61" t="s">
        <v>411</v>
      </c>
      <c r="AN38" s="61" t="s">
        <v>411</v>
      </c>
      <c r="AO38" s="61" t="s">
        <v>772</v>
      </c>
      <c r="AP38" s="61" t="s">
        <v>490</v>
      </c>
      <c r="AQ38" s="61" t="s">
        <v>195</v>
      </c>
      <c r="AR38" s="61" t="s">
        <v>411</v>
      </c>
      <c r="AS38" s="61" t="s">
        <v>411</v>
      </c>
      <c r="AT38" s="61" t="s">
        <v>196</v>
      </c>
      <c r="AU38" s="61" t="s">
        <v>196</v>
      </c>
      <c r="AV38" s="274" t="s">
        <v>411</v>
      </c>
      <c r="AW38" s="61" t="s">
        <v>935</v>
      </c>
      <c r="AX38" s="274" t="s">
        <v>411</v>
      </c>
      <c r="AY38" s="61" t="s">
        <v>196</v>
      </c>
      <c r="AZ38" s="274" t="s">
        <v>411</v>
      </c>
      <c r="BA38" s="274" t="s">
        <v>411</v>
      </c>
      <c r="BB38" s="61" t="s">
        <v>683</v>
      </c>
      <c r="BC38" s="61" t="s">
        <v>683</v>
      </c>
      <c r="BD38" s="61" t="s">
        <v>684</v>
      </c>
      <c r="BE38" s="61" t="s">
        <v>683</v>
      </c>
      <c r="BF38" s="248">
        <v>6</v>
      </c>
      <c r="BG38" s="15"/>
      <c r="BH38" s="15"/>
      <c r="BI38" s="15"/>
      <c r="BJ38" s="15"/>
    </row>
    <row r="39" spans="1:62" ht="12.75">
      <c r="A39" s="247">
        <v>37</v>
      </c>
      <c r="B39" s="30"/>
      <c r="C39" s="32"/>
      <c r="D39" s="86" t="s">
        <v>1073</v>
      </c>
      <c r="E39" s="62" t="s">
        <v>113</v>
      </c>
      <c r="F39" s="62" t="s">
        <v>113</v>
      </c>
      <c r="G39" s="62" t="s">
        <v>113</v>
      </c>
      <c r="H39" s="62" t="s">
        <v>551</v>
      </c>
      <c r="I39" s="62" t="s">
        <v>84</v>
      </c>
      <c r="J39" s="61" t="s">
        <v>706</v>
      </c>
      <c r="K39" s="62" t="s">
        <v>126</v>
      </c>
      <c r="L39" s="62" t="s">
        <v>121</v>
      </c>
      <c r="M39" s="62" t="s">
        <v>123</v>
      </c>
      <c r="N39" s="62" t="s">
        <v>113</v>
      </c>
      <c r="O39" s="62" t="s">
        <v>123</v>
      </c>
      <c r="P39" s="62" t="s">
        <v>123</v>
      </c>
      <c r="Q39" s="62" t="s">
        <v>337</v>
      </c>
      <c r="R39" s="62" t="s">
        <v>337</v>
      </c>
      <c r="S39" s="62" t="s">
        <v>1073</v>
      </c>
      <c r="T39" s="62" t="s">
        <v>337</v>
      </c>
      <c r="U39" s="61" t="s">
        <v>1012</v>
      </c>
      <c r="V39" s="62" t="s">
        <v>987</v>
      </c>
      <c r="W39" s="61" t="s">
        <v>1017</v>
      </c>
      <c r="X39" s="61" t="s">
        <v>505</v>
      </c>
      <c r="Y39" s="61" t="s">
        <v>560</v>
      </c>
      <c r="Z39" s="61" t="s">
        <v>735</v>
      </c>
      <c r="AA39" s="61" t="s">
        <v>750</v>
      </c>
      <c r="AB39" s="61" t="s">
        <v>849</v>
      </c>
      <c r="AC39" s="61" t="s">
        <v>780</v>
      </c>
      <c r="AD39" s="61" t="s">
        <v>803</v>
      </c>
      <c r="AE39" s="61" t="s">
        <v>813</v>
      </c>
      <c r="AF39" s="61" t="s">
        <v>824</v>
      </c>
      <c r="AG39" s="61" t="s">
        <v>824</v>
      </c>
      <c r="AH39" s="61" t="s">
        <v>824</v>
      </c>
      <c r="AI39" s="61" t="s">
        <v>829</v>
      </c>
      <c r="AJ39" s="61" t="s">
        <v>772</v>
      </c>
      <c r="AK39" s="61" t="s">
        <v>1045</v>
      </c>
      <c r="AL39" s="61" t="s">
        <v>1045</v>
      </c>
      <c r="AM39" s="61" t="s">
        <v>411</v>
      </c>
      <c r="AN39" s="61" t="s">
        <v>411</v>
      </c>
      <c r="AO39" s="61" t="s">
        <v>772</v>
      </c>
      <c r="AP39" s="61" t="s">
        <v>490</v>
      </c>
      <c r="AQ39" s="61" t="s">
        <v>195</v>
      </c>
      <c r="AR39" s="61" t="s">
        <v>411</v>
      </c>
      <c r="AS39" s="61" t="s">
        <v>411</v>
      </c>
      <c r="AT39" s="61" t="s">
        <v>196</v>
      </c>
      <c r="AU39" s="61" t="s">
        <v>196</v>
      </c>
      <c r="AV39" s="274" t="s">
        <v>411</v>
      </c>
      <c r="AW39" s="61" t="s">
        <v>935</v>
      </c>
      <c r="AX39" s="274" t="s">
        <v>411</v>
      </c>
      <c r="AY39" s="61" t="s">
        <v>196</v>
      </c>
      <c r="AZ39" s="274" t="s">
        <v>411</v>
      </c>
      <c r="BA39" s="274" t="s">
        <v>411</v>
      </c>
      <c r="BB39" s="61" t="s">
        <v>683</v>
      </c>
      <c r="BC39" s="61" t="s">
        <v>683</v>
      </c>
      <c r="BD39" s="61" t="s">
        <v>684</v>
      </c>
      <c r="BE39" s="61" t="s">
        <v>683</v>
      </c>
      <c r="BF39" s="248">
        <v>7</v>
      </c>
      <c r="BG39" s="15"/>
      <c r="BH39" s="15"/>
      <c r="BI39" s="15"/>
      <c r="BJ39" s="15"/>
    </row>
    <row r="40" spans="1:62" ht="12.75">
      <c r="A40" s="247">
        <v>38</v>
      </c>
      <c r="B40" s="30"/>
      <c r="C40" s="32"/>
      <c r="D40" s="86" t="s">
        <v>1073</v>
      </c>
      <c r="E40" s="62" t="s">
        <v>113</v>
      </c>
      <c r="F40" s="62" t="s">
        <v>113</v>
      </c>
      <c r="G40" s="62" t="s">
        <v>113</v>
      </c>
      <c r="H40" s="61" t="s">
        <v>551</v>
      </c>
      <c r="I40" s="62" t="s">
        <v>84</v>
      </c>
      <c r="J40" s="61" t="s">
        <v>706</v>
      </c>
      <c r="K40" s="62" t="s">
        <v>113</v>
      </c>
      <c r="L40" s="62" t="s">
        <v>121</v>
      </c>
      <c r="M40" s="62" t="s">
        <v>123</v>
      </c>
      <c r="N40" s="62" t="s">
        <v>113</v>
      </c>
      <c r="O40" s="62" t="s">
        <v>123</v>
      </c>
      <c r="P40" s="62" t="s">
        <v>123</v>
      </c>
      <c r="Q40" s="62" t="s">
        <v>337</v>
      </c>
      <c r="R40" s="62" t="s">
        <v>337</v>
      </c>
      <c r="S40" s="62" t="s">
        <v>1073</v>
      </c>
      <c r="T40" s="62" t="s">
        <v>337</v>
      </c>
      <c r="U40" s="62" t="s">
        <v>987</v>
      </c>
      <c r="V40" s="62" t="s">
        <v>987</v>
      </c>
      <c r="W40" s="61" t="s">
        <v>1019</v>
      </c>
      <c r="X40" s="61" t="s">
        <v>506</v>
      </c>
      <c r="Y40" s="61" t="s">
        <v>560</v>
      </c>
      <c r="Z40" s="61" t="s">
        <v>737</v>
      </c>
      <c r="AA40" s="61" t="s">
        <v>752</v>
      </c>
      <c r="AB40" s="61" t="s">
        <v>752</v>
      </c>
      <c r="AC40" s="61" t="s">
        <v>752</v>
      </c>
      <c r="AD40" s="61" t="s">
        <v>752</v>
      </c>
      <c r="AE40" s="61" t="s">
        <v>752</v>
      </c>
      <c r="AF40" s="61" t="s">
        <v>752</v>
      </c>
      <c r="AG40" s="61" t="s">
        <v>816</v>
      </c>
      <c r="AH40" s="61" t="s">
        <v>816</v>
      </c>
      <c r="AI40" s="61" t="s">
        <v>829</v>
      </c>
      <c r="AJ40" s="61" t="s">
        <v>772</v>
      </c>
      <c r="AK40" s="61" t="s">
        <v>1045</v>
      </c>
      <c r="AL40" s="61" t="s">
        <v>1046</v>
      </c>
      <c r="AM40" s="61" t="s">
        <v>411</v>
      </c>
      <c r="AN40" s="61" t="s">
        <v>412</v>
      </c>
      <c r="AO40" s="61" t="s">
        <v>771</v>
      </c>
      <c r="AP40" s="61" t="s">
        <v>490</v>
      </c>
      <c r="AQ40" s="61" t="s">
        <v>195</v>
      </c>
      <c r="AR40" s="61" t="s">
        <v>412</v>
      </c>
      <c r="AS40" s="61" t="s">
        <v>412</v>
      </c>
      <c r="AT40" s="61" t="s">
        <v>155</v>
      </c>
      <c r="AU40" s="61" t="s">
        <v>1114</v>
      </c>
      <c r="AV40" s="274" t="s">
        <v>412</v>
      </c>
      <c r="AW40" s="61" t="s">
        <v>935</v>
      </c>
      <c r="AX40" s="274" t="s">
        <v>412</v>
      </c>
      <c r="AY40" s="61" t="s">
        <v>475</v>
      </c>
      <c r="AZ40" s="274" t="s">
        <v>412</v>
      </c>
      <c r="BA40" s="274" t="s">
        <v>412</v>
      </c>
      <c r="BB40" s="61" t="s">
        <v>683</v>
      </c>
      <c r="BC40" s="61" t="s">
        <v>684</v>
      </c>
      <c r="BD40" s="61" t="s">
        <v>134</v>
      </c>
      <c r="BE40" s="61" t="s">
        <v>157</v>
      </c>
      <c r="BF40" s="248">
        <v>8</v>
      </c>
      <c r="BG40" s="15"/>
      <c r="BH40" s="15"/>
      <c r="BI40" s="15"/>
      <c r="BJ40" s="15"/>
    </row>
    <row r="41" spans="1:62" ht="12.75">
      <c r="A41" s="247">
        <v>39</v>
      </c>
      <c r="B41" s="30"/>
      <c r="C41" s="32"/>
      <c r="D41" s="86" t="s">
        <v>1073</v>
      </c>
      <c r="E41" s="62" t="s">
        <v>556</v>
      </c>
      <c r="F41" s="62" t="s">
        <v>553</v>
      </c>
      <c r="G41" s="62" t="s">
        <v>550</v>
      </c>
      <c r="H41" s="61" t="s">
        <v>551</v>
      </c>
      <c r="I41" s="62" t="s">
        <v>113</v>
      </c>
      <c r="J41" s="62" t="s">
        <v>113</v>
      </c>
      <c r="K41" s="62" t="s">
        <v>123</v>
      </c>
      <c r="L41" s="62" t="s">
        <v>113</v>
      </c>
      <c r="M41" s="62" t="s">
        <v>123</v>
      </c>
      <c r="N41" s="62" t="s">
        <v>113</v>
      </c>
      <c r="O41" s="62" t="s">
        <v>123</v>
      </c>
      <c r="P41" s="62" t="s">
        <v>123</v>
      </c>
      <c r="Q41" s="62" t="s">
        <v>337</v>
      </c>
      <c r="R41" s="62" t="s">
        <v>337</v>
      </c>
      <c r="S41" s="62" t="s">
        <v>1073</v>
      </c>
      <c r="T41" s="62" t="s">
        <v>337</v>
      </c>
      <c r="U41" s="62" t="s">
        <v>987</v>
      </c>
      <c r="V41" s="61" t="s">
        <v>1015</v>
      </c>
      <c r="W41" s="61" t="s">
        <v>1019</v>
      </c>
      <c r="X41" s="61" t="s">
        <v>506</v>
      </c>
      <c r="Y41" s="61" t="s">
        <v>560</v>
      </c>
      <c r="Z41" s="61" t="s">
        <v>737</v>
      </c>
      <c r="AA41" s="61" t="s">
        <v>752</v>
      </c>
      <c r="AB41" s="61" t="s">
        <v>851</v>
      </c>
      <c r="AC41" s="61" t="s">
        <v>778</v>
      </c>
      <c r="AD41" s="61" t="s">
        <v>805</v>
      </c>
      <c r="AE41" s="61" t="s">
        <v>805</v>
      </c>
      <c r="AF41" s="61" t="s">
        <v>805</v>
      </c>
      <c r="AG41" s="61" t="s">
        <v>816</v>
      </c>
      <c r="AH41" s="61" t="s">
        <v>826</v>
      </c>
      <c r="AI41" s="61" t="s">
        <v>829</v>
      </c>
      <c r="AJ41" s="61" t="s">
        <v>772</v>
      </c>
      <c r="AK41" s="61" t="s">
        <v>1045</v>
      </c>
      <c r="AL41" s="61" t="s">
        <v>1046</v>
      </c>
      <c r="AM41" s="61" t="s">
        <v>411</v>
      </c>
      <c r="AN41" s="61" t="s">
        <v>412</v>
      </c>
      <c r="AO41" s="61" t="s">
        <v>771</v>
      </c>
      <c r="AP41" s="61" t="s">
        <v>490</v>
      </c>
      <c r="AQ41" s="61" t="s">
        <v>195</v>
      </c>
      <c r="AR41" s="61" t="s">
        <v>412</v>
      </c>
      <c r="AS41" s="61" t="s">
        <v>412</v>
      </c>
      <c r="AT41" s="61" t="s">
        <v>155</v>
      </c>
      <c r="AU41" s="61" t="s">
        <v>1114</v>
      </c>
      <c r="AV41" s="274" t="s">
        <v>412</v>
      </c>
      <c r="AW41" s="61" t="s">
        <v>935</v>
      </c>
      <c r="AX41" s="274" t="s">
        <v>412</v>
      </c>
      <c r="AY41" s="61" t="s">
        <v>475</v>
      </c>
      <c r="AZ41" s="274" t="s">
        <v>412</v>
      </c>
      <c r="BA41" s="274" t="s">
        <v>412</v>
      </c>
      <c r="BB41" s="61" t="s">
        <v>683</v>
      </c>
      <c r="BC41" s="61" t="s">
        <v>684</v>
      </c>
      <c r="BD41" s="61" t="s">
        <v>134</v>
      </c>
      <c r="BE41" s="61" t="s">
        <v>684</v>
      </c>
      <c r="BF41" s="248">
        <v>9</v>
      </c>
      <c r="BG41" s="15"/>
      <c r="BH41" s="15"/>
      <c r="BI41" s="15"/>
      <c r="BJ41" s="15"/>
    </row>
    <row r="42" spans="1:62" ht="12.75">
      <c r="A42" s="247">
        <v>40</v>
      </c>
      <c r="B42" s="30"/>
      <c r="C42" s="32"/>
      <c r="D42" s="86" t="s">
        <v>1073</v>
      </c>
      <c r="E42" s="62" t="s">
        <v>556</v>
      </c>
      <c r="F42" s="62" t="s">
        <v>553</v>
      </c>
      <c r="G42" s="62" t="s">
        <v>550</v>
      </c>
      <c r="H42" s="62" t="s">
        <v>113</v>
      </c>
      <c r="I42" s="62" t="s">
        <v>113</v>
      </c>
      <c r="J42" s="62" t="s">
        <v>113</v>
      </c>
      <c r="K42" s="62" t="s">
        <v>123</v>
      </c>
      <c r="L42" s="62" t="s">
        <v>113</v>
      </c>
      <c r="M42" s="62" t="s">
        <v>113</v>
      </c>
      <c r="N42" s="62" t="s">
        <v>113</v>
      </c>
      <c r="O42" s="62" t="s">
        <v>113</v>
      </c>
      <c r="P42" s="62" t="s">
        <v>338</v>
      </c>
      <c r="Q42" s="62" t="s">
        <v>288</v>
      </c>
      <c r="R42" s="62" t="s">
        <v>987</v>
      </c>
      <c r="S42" s="62" t="s">
        <v>1073</v>
      </c>
      <c r="T42" s="62" t="s">
        <v>987</v>
      </c>
      <c r="U42" s="61" t="s">
        <v>1013</v>
      </c>
      <c r="V42" s="62" t="s">
        <v>988</v>
      </c>
      <c r="W42" s="61" t="s">
        <v>1019</v>
      </c>
      <c r="X42" s="61" t="s">
        <v>506</v>
      </c>
      <c r="Y42" s="61" t="s">
        <v>561</v>
      </c>
      <c r="Z42" s="61" t="s">
        <v>737</v>
      </c>
      <c r="AA42" s="61" t="s">
        <v>752</v>
      </c>
      <c r="AB42" s="61" t="s">
        <v>851</v>
      </c>
      <c r="AC42" s="61" t="s">
        <v>778</v>
      </c>
      <c r="AD42" s="61" t="s">
        <v>805</v>
      </c>
      <c r="AE42" s="61" t="s">
        <v>816</v>
      </c>
      <c r="AF42" s="61" t="s">
        <v>826</v>
      </c>
      <c r="AG42" s="61" t="s">
        <v>826</v>
      </c>
      <c r="AH42" s="61" t="s">
        <v>826</v>
      </c>
      <c r="AI42" s="61" t="s">
        <v>829</v>
      </c>
      <c r="AJ42" s="61" t="s">
        <v>772</v>
      </c>
      <c r="AK42" s="61" t="s">
        <v>1045</v>
      </c>
      <c r="AL42" s="61" t="s">
        <v>1046</v>
      </c>
      <c r="AM42" s="61" t="s">
        <v>411</v>
      </c>
      <c r="AN42" s="61" t="s">
        <v>412</v>
      </c>
      <c r="AO42" s="61" t="s">
        <v>771</v>
      </c>
      <c r="AP42" s="61" t="s">
        <v>490</v>
      </c>
      <c r="AQ42" s="61" t="s">
        <v>195</v>
      </c>
      <c r="AR42" s="61" t="s">
        <v>412</v>
      </c>
      <c r="AS42" s="61" t="s">
        <v>412</v>
      </c>
      <c r="AT42" s="61" t="s">
        <v>155</v>
      </c>
      <c r="AU42" s="61" t="s">
        <v>155</v>
      </c>
      <c r="AV42" s="274" t="s">
        <v>412</v>
      </c>
      <c r="AW42" s="61" t="s">
        <v>935</v>
      </c>
      <c r="AX42" s="274" t="s">
        <v>412</v>
      </c>
      <c r="AY42" s="61" t="s">
        <v>155</v>
      </c>
      <c r="AZ42" s="274" t="s">
        <v>412</v>
      </c>
      <c r="BA42" s="274" t="s">
        <v>412</v>
      </c>
      <c r="BB42" s="61" t="s">
        <v>683</v>
      </c>
      <c r="BC42" s="61" t="s">
        <v>684</v>
      </c>
      <c r="BD42" s="61" t="s">
        <v>155</v>
      </c>
      <c r="BE42" s="61" t="s">
        <v>684</v>
      </c>
      <c r="BF42" s="248">
        <v>10</v>
      </c>
      <c r="BG42" s="15"/>
      <c r="BH42" s="15"/>
      <c r="BI42" s="15"/>
      <c r="BJ42" s="15"/>
    </row>
    <row r="43" spans="1:62" ht="12.75">
      <c r="A43" s="247">
        <v>41</v>
      </c>
      <c r="B43" s="30"/>
      <c r="C43" s="32"/>
      <c r="D43" s="86" t="s">
        <v>1073</v>
      </c>
      <c r="E43" s="62" t="s">
        <v>113</v>
      </c>
      <c r="F43" s="62" t="s">
        <v>113</v>
      </c>
      <c r="G43" s="62" t="s">
        <v>113</v>
      </c>
      <c r="H43" s="62" t="s">
        <v>113</v>
      </c>
      <c r="I43" s="62" t="s">
        <v>114</v>
      </c>
      <c r="J43" s="61" t="s">
        <v>707</v>
      </c>
      <c r="K43" s="61" t="s">
        <v>338</v>
      </c>
      <c r="L43" s="95" t="s">
        <v>220</v>
      </c>
      <c r="M43" s="62" t="s">
        <v>113</v>
      </c>
      <c r="N43" s="62" t="s">
        <v>281</v>
      </c>
      <c r="O43" s="62" t="s">
        <v>113</v>
      </c>
      <c r="P43" s="62" t="s">
        <v>338</v>
      </c>
      <c r="Q43" s="62" t="s">
        <v>288</v>
      </c>
      <c r="R43" s="62" t="s">
        <v>987</v>
      </c>
      <c r="S43" s="62" t="s">
        <v>1073</v>
      </c>
      <c r="T43" s="62" t="s">
        <v>987</v>
      </c>
      <c r="U43" s="62" t="s">
        <v>988</v>
      </c>
      <c r="V43" s="62" t="s">
        <v>988</v>
      </c>
      <c r="W43" s="61" t="s">
        <v>1019</v>
      </c>
      <c r="X43" s="61" t="s">
        <v>506</v>
      </c>
      <c r="Y43" s="61" t="s">
        <v>561</v>
      </c>
      <c r="Z43" s="61" t="s">
        <v>737</v>
      </c>
      <c r="AA43" s="61" t="s">
        <v>752</v>
      </c>
      <c r="AB43" s="61" t="s">
        <v>851</v>
      </c>
      <c r="AC43" s="61" t="s">
        <v>778</v>
      </c>
      <c r="AD43" s="61" t="s">
        <v>805</v>
      </c>
      <c r="AE43" s="61" t="s">
        <v>816</v>
      </c>
      <c r="AF43" s="61" t="s">
        <v>826</v>
      </c>
      <c r="AG43" s="61" t="s">
        <v>826</v>
      </c>
      <c r="AH43" s="61" t="s">
        <v>826</v>
      </c>
      <c r="AI43" s="61" t="s">
        <v>828</v>
      </c>
      <c r="AJ43" s="61" t="s">
        <v>771</v>
      </c>
      <c r="AK43" s="61" t="s">
        <v>1046</v>
      </c>
      <c r="AL43" s="61" t="s">
        <v>536</v>
      </c>
      <c r="AM43" s="61" t="s">
        <v>412</v>
      </c>
      <c r="AN43" s="61" t="s">
        <v>536</v>
      </c>
      <c r="AO43" s="61" t="s">
        <v>1008</v>
      </c>
      <c r="AP43" s="61" t="s">
        <v>491</v>
      </c>
      <c r="AQ43" s="61" t="s">
        <v>196</v>
      </c>
      <c r="AR43" s="61" t="s">
        <v>536</v>
      </c>
      <c r="AS43" s="61" t="s">
        <v>536</v>
      </c>
      <c r="AT43" s="61" t="s">
        <v>156</v>
      </c>
      <c r="AU43" s="61" t="s">
        <v>1115</v>
      </c>
      <c r="AV43" s="274" t="s">
        <v>953</v>
      </c>
      <c r="AW43" s="61" t="s">
        <v>936</v>
      </c>
      <c r="AX43" s="274" t="s">
        <v>953</v>
      </c>
      <c r="AY43" s="61" t="s">
        <v>476</v>
      </c>
      <c r="AZ43" s="274" t="s">
        <v>953</v>
      </c>
      <c r="BA43" s="274" t="s">
        <v>950</v>
      </c>
      <c r="BB43" s="61" t="s">
        <v>684</v>
      </c>
      <c r="BC43" s="274" t="s">
        <v>950</v>
      </c>
      <c r="BD43" s="61" t="s">
        <v>135</v>
      </c>
      <c r="BE43" s="274" t="s">
        <v>144</v>
      </c>
      <c r="BF43" s="248">
        <v>11</v>
      </c>
      <c r="BG43" s="15"/>
      <c r="BH43" s="15"/>
      <c r="BI43" s="15"/>
      <c r="BJ43" s="15"/>
    </row>
    <row r="44" spans="1:62" ht="12.75">
      <c r="A44" s="247">
        <v>42</v>
      </c>
      <c r="B44" s="30"/>
      <c r="C44" s="32"/>
      <c r="D44" s="86" t="s">
        <v>1073</v>
      </c>
      <c r="E44" s="62" t="s">
        <v>113</v>
      </c>
      <c r="F44" s="62" t="s">
        <v>113</v>
      </c>
      <c r="G44" s="62" t="s">
        <v>113</v>
      </c>
      <c r="H44" s="62" t="s">
        <v>113</v>
      </c>
      <c r="I44" s="62" t="s">
        <v>114</v>
      </c>
      <c r="J44" s="61" t="s">
        <v>707</v>
      </c>
      <c r="K44" s="61" t="s">
        <v>338</v>
      </c>
      <c r="L44" s="62" t="s">
        <v>113</v>
      </c>
      <c r="M44" s="62" t="s">
        <v>113</v>
      </c>
      <c r="N44" s="62" t="s">
        <v>281</v>
      </c>
      <c r="O44" s="62" t="s">
        <v>113</v>
      </c>
      <c r="P44" s="62" t="s">
        <v>338</v>
      </c>
      <c r="Q44" s="62" t="s">
        <v>290</v>
      </c>
      <c r="R44" s="62" t="s">
        <v>988</v>
      </c>
      <c r="S44" s="62" t="s">
        <v>1073</v>
      </c>
      <c r="T44" s="62" t="s">
        <v>988</v>
      </c>
      <c r="U44" s="62" t="s">
        <v>988</v>
      </c>
      <c r="V44" s="61" t="s">
        <v>1016</v>
      </c>
      <c r="W44" s="61" t="s">
        <v>1018</v>
      </c>
      <c r="X44" s="61" t="s">
        <v>507</v>
      </c>
      <c r="Y44" s="61" t="s">
        <v>561</v>
      </c>
      <c r="Z44" s="61" t="s">
        <v>736</v>
      </c>
      <c r="AA44" s="61" t="s">
        <v>751</v>
      </c>
      <c r="AB44" s="61" t="s">
        <v>751</v>
      </c>
      <c r="AC44" s="61" t="s">
        <v>751</v>
      </c>
      <c r="AD44" s="61" t="s">
        <v>751</v>
      </c>
      <c r="AE44" s="61" t="s">
        <v>751</v>
      </c>
      <c r="AF44" s="61" t="s">
        <v>751</v>
      </c>
      <c r="AG44" s="61" t="s">
        <v>814</v>
      </c>
      <c r="AH44" s="61" t="s">
        <v>814</v>
      </c>
      <c r="AI44" s="61" t="s">
        <v>828</v>
      </c>
      <c r="AJ44" s="61" t="s">
        <v>771</v>
      </c>
      <c r="AK44" s="61" t="s">
        <v>1046</v>
      </c>
      <c r="AL44" s="61" t="s">
        <v>536</v>
      </c>
      <c r="AM44" s="61" t="s">
        <v>412</v>
      </c>
      <c r="AN44" s="61" t="s">
        <v>536</v>
      </c>
      <c r="AO44" s="61" t="s">
        <v>1008</v>
      </c>
      <c r="AP44" s="61" t="s">
        <v>491</v>
      </c>
      <c r="AQ44" s="61" t="s">
        <v>196</v>
      </c>
      <c r="AR44" s="61" t="s">
        <v>536</v>
      </c>
      <c r="AS44" s="61" t="s">
        <v>536</v>
      </c>
      <c r="AT44" s="61" t="s">
        <v>156</v>
      </c>
      <c r="AU44" s="61" t="s">
        <v>1115</v>
      </c>
      <c r="AV44" s="274" t="s">
        <v>953</v>
      </c>
      <c r="AW44" s="61" t="s">
        <v>936</v>
      </c>
      <c r="AX44" s="274" t="s">
        <v>953</v>
      </c>
      <c r="AY44" s="61" t="s">
        <v>476</v>
      </c>
      <c r="AZ44" s="274" t="s">
        <v>953</v>
      </c>
      <c r="BA44" s="274" t="s">
        <v>950</v>
      </c>
      <c r="BB44" s="61" t="s">
        <v>684</v>
      </c>
      <c r="BC44" s="274" t="s">
        <v>950</v>
      </c>
      <c r="BD44" s="61" t="s">
        <v>135</v>
      </c>
      <c r="BE44" s="274" t="s">
        <v>144</v>
      </c>
      <c r="BF44" s="248">
        <v>12</v>
      </c>
      <c r="BG44" s="15"/>
      <c r="BH44" s="15"/>
      <c r="BI44" s="15"/>
      <c r="BJ44" s="15"/>
    </row>
    <row r="45" spans="1:62" ht="12.75">
      <c r="A45" s="247">
        <v>43</v>
      </c>
      <c r="B45" s="30"/>
      <c r="C45" s="32"/>
      <c r="D45" s="86" t="s">
        <v>1073</v>
      </c>
      <c r="E45" s="86" t="s">
        <v>1073</v>
      </c>
      <c r="F45" s="86" t="s">
        <v>1073</v>
      </c>
      <c r="G45" s="86" t="s">
        <v>1073</v>
      </c>
      <c r="H45" s="62" t="s">
        <v>550</v>
      </c>
      <c r="I45" s="62" t="s">
        <v>113</v>
      </c>
      <c r="J45" s="62" t="s">
        <v>113</v>
      </c>
      <c r="K45" s="62" t="s">
        <v>125</v>
      </c>
      <c r="L45" s="62" t="s">
        <v>123</v>
      </c>
      <c r="M45" s="62" t="s">
        <v>122</v>
      </c>
      <c r="N45" s="62" t="s">
        <v>281</v>
      </c>
      <c r="O45" s="62" t="s">
        <v>122</v>
      </c>
      <c r="P45" s="62" t="s">
        <v>122</v>
      </c>
      <c r="Q45" s="62" t="s">
        <v>290</v>
      </c>
      <c r="R45" s="62" t="s">
        <v>988</v>
      </c>
      <c r="S45" s="62" t="s">
        <v>1073</v>
      </c>
      <c r="T45" s="62" t="s">
        <v>988</v>
      </c>
      <c r="U45" s="61" t="s">
        <v>1014</v>
      </c>
      <c r="V45" s="62" t="s">
        <v>989</v>
      </c>
      <c r="W45" s="61" t="s">
        <v>1018</v>
      </c>
      <c r="X45" s="61" t="s">
        <v>507</v>
      </c>
      <c r="Y45" s="61" t="s">
        <v>562</v>
      </c>
      <c r="Z45" s="61" t="s">
        <v>736</v>
      </c>
      <c r="AA45" s="61" t="s">
        <v>751</v>
      </c>
      <c r="AB45" s="61" t="s">
        <v>850</v>
      </c>
      <c r="AC45" s="61" t="s">
        <v>779</v>
      </c>
      <c r="AD45" s="61" t="s">
        <v>804</v>
      </c>
      <c r="AE45" s="61" t="s">
        <v>804</v>
      </c>
      <c r="AF45" s="61" t="s">
        <v>804</v>
      </c>
      <c r="AG45" s="61" t="s">
        <v>814</v>
      </c>
      <c r="AH45" s="61" t="s">
        <v>825</v>
      </c>
      <c r="AI45" s="61" t="s">
        <v>828</v>
      </c>
      <c r="AJ45" s="61" t="s">
        <v>771</v>
      </c>
      <c r="AK45" s="61" t="s">
        <v>1046</v>
      </c>
      <c r="AL45" s="61" t="s">
        <v>51</v>
      </c>
      <c r="AM45" s="61" t="s">
        <v>412</v>
      </c>
      <c r="AN45" s="61" t="s">
        <v>51</v>
      </c>
      <c r="AO45" s="61" t="s">
        <v>1009</v>
      </c>
      <c r="AP45" s="61" t="s">
        <v>491</v>
      </c>
      <c r="AQ45" s="61" t="s">
        <v>196</v>
      </c>
      <c r="AR45" s="61" t="s">
        <v>51</v>
      </c>
      <c r="AS45" s="61" t="s">
        <v>536</v>
      </c>
      <c r="AT45" s="61" t="s">
        <v>156</v>
      </c>
      <c r="AU45" s="61" t="s">
        <v>156</v>
      </c>
      <c r="AV45" s="274" t="s">
        <v>953</v>
      </c>
      <c r="AW45" s="61" t="s">
        <v>936</v>
      </c>
      <c r="AX45" s="274" t="s">
        <v>953</v>
      </c>
      <c r="AY45" s="61" t="s">
        <v>156</v>
      </c>
      <c r="AZ45" s="274" t="s">
        <v>953</v>
      </c>
      <c r="BA45" s="274" t="s">
        <v>950</v>
      </c>
      <c r="BB45" s="61" t="s">
        <v>684</v>
      </c>
      <c r="BC45" s="274" t="s">
        <v>950</v>
      </c>
      <c r="BD45" s="61" t="s">
        <v>156</v>
      </c>
      <c r="BE45" s="274" t="s">
        <v>950</v>
      </c>
      <c r="BF45" s="248">
        <v>13</v>
      </c>
      <c r="BG45" s="15"/>
      <c r="BH45" s="15"/>
      <c r="BI45" s="15"/>
      <c r="BJ45" s="15"/>
    </row>
    <row r="46" spans="1:62" ht="12.75">
      <c r="A46" s="247">
        <v>44</v>
      </c>
      <c r="B46" s="30"/>
      <c r="C46" s="32"/>
      <c r="D46" s="86" t="s">
        <v>1073</v>
      </c>
      <c r="E46" s="86" t="s">
        <v>1073</v>
      </c>
      <c r="F46" s="86" t="s">
        <v>1073</v>
      </c>
      <c r="G46" s="86" t="s">
        <v>1073</v>
      </c>
      <c r="H46" s="62" t="s">
        <v>550</v>
      </c>
      <c r="I46" s="62" t="s">
        <v>113</v>
      </c>
      <c r="J46" s="62" t="s">
        <v>113</v>
      </c>
      <c r="K46" s="62" t="s">
        <v>113</v>
      </c>
      <c r="L46" s="62" t="s">
        <v>123</v>
      </c>
      <c r="M46" s="62" t="s">
        <v>122</v>
      </c>
      <c r="N46" s="62" t="s">
        <v>281</v>
      </c>
      <c r="O46" s="62" t="s">
        <v>122</v>
      </c>
      <c r="P46" s="62" t="s">
        <v>122</v>
      </c>
      <c r="Q46" s="62" t="s">
        <v>289</v>
      </c>
      <c r="R46" s="62" t="s">
        <v>989</v>
      </c>
      <c r="S46" s="62" t="s">
        <v>1073</v>
      </c>
      <c r="T46" s="62" t="s">
        <v>989</v>
      </c>
      <c r="U46" s="62" t="s">
        <v>989</v>
      </c>
      <c r="V46" s="62" t="s">
        <v>989</v>
      </c>
      <c r="W46" s="61" t="s">
        <v>1018</v>
      </c>
      <c r="X46" s="61" t="s">
        <v>507</v>
      </c>
      <c r="Y46" s="61" t="s">
        <v>562</v>
      </c>
      <c r="Z46" s="61" t="s">
        <v>736</v>
      </c>
      <c r="AA46" s="61" t="s">
        <v>751</v>
      </c>
      <c r="AB46" s="61" t="s">
        <v>850</v>
      </c>
      <c r="AC46" s="61" t="s">
        <v>779</v>
      </c>
      <c r="AD46" s="61" t="s">
        <v>804</v>
      </c>
      <c r="AE46" s="61" t="s">
        <v>814</v>
      </c>
      <c r="AF46" s="61" t="s">
        <v>825</v>
      </c>
      <c r="AG46" s="61" t="s">
        <v>825</v>
      </c>
      <c r="AH46" s="61" t="s">
        <v>825</v>
      </c>
      <c r="AI46" s="61" t="s">
        <v>828</v>
      </c>
      <c r="AJ46" s="61" t="s">
        <v>771</v>
      </c>
      <c r="AK46" s="61" t="s">
        <v>1046</v>
      </c>
      <c r="AL46" s="61" t="s">
        <v>51</v>
      </c>
      <c r="AM46" s="61" t="s">
        <v>412</v>
      </c>
      <c r="AN46" s="61" t="s">
        <v>51</v>
      </c>
      <c r="AO46" s="61" t="s">
        <v>1009</v>
      </c>
      <c r="AP46" s="61" t="s">
        <v>491</v>
      </c>
      <c r="AQ46" s="61" t="s">
        <v>196</v>
      </c>
      <c r="AR46" s="61" t="s">
        <v>51</v>
      </c>
      <c r="AS46" s="61" t="s">
        <v>51</v>
      </c>
      <c r="AT46" s="61" t="s">
        <v>157</v>
      </c>
      <c r="AU46" s="61" t="s">
        <v>1116</v>
      </c>
      <c r="AV46" s="274" t="s">
        <v>953</v>
      </c>
      <c r="AW46" s="61" t="s">
        <v>936</v>
      </c>
      <c r="AX46" s="274" t="s">
        <v>953</v>
      </c>
      <c r="AY46" s="61" t="s">
        <v>477</v>
      </c>
      <c r="AZ46" s="274" t="s">
        <v>953</v>
      </c>
      <c r="BA46" s="274" t="s">
        <v>950</v>
      </c>
      <c r="BB46" s="61" t="s">
        <v>684</v>
      </c>
      <c r="BC46" s="274" t="s">
        <v>950</v>
      </c>
      <c r="BD46" s="61" t="s">
        <v>136</v>
      </c>
      <c r="BE46" s="274" t="s">
        <v>950</v>
      </c>
      <c r="BF46" s="248">
        <v>14</v>
      </c>
      <c r="BG46" s="15"/>
      <c r="BH46" s="15"/>
      <c r="BI46" s="15"/>
      <c r="BJ46" s="15"/>
    </row>
    <row r="47" spans="1:62" ht="12.75">
      <c r="A47" s="247">
        <v>45</v>
      </c>
      <c r="B47" s="30"/>
      <c r="C47" s="32"/>
      <c r="D47" s="86" t="s">
        <v>1073</v>
      </c>
      <c r="E47" s="86" t="s">
        <v>1073</v>
      </c>
      <c r="F47" s="86" t="s">
        <v>1073</v>
      </c>
      <c r="G47" s="86" t="s">
        <v>1073</v>
      </c>
      <c r="H47" s="62" t="s">
        <v>550</v>
      </c>
      <c r="I47" s="62" t="s">
        <v>120</v>
      </c>
      <c r="J47" s="61" t="s">
        <v>708</v>
      </c>
      <c r="K47" s="62" t="s">
        <v>122</v>
      </c>
      <c r="L47" s="62" t="s">
        <v>113</v>
      </c>
      <c r="M47" s="62" t="s">
        <v>122</v>
      </c>
      <c r="N47" s="62" t="s">
        <v>281</v>
      </c>
      <c r="O47" s="62" t="s">
        <v>122</v>
      </c>
      <c r="P47" s="62" t="s">
        <v>122</v>
      </c>
      <c r="Q47" s="62" t="s">
        <v>289</v>
      </c>
      <c r="R47" s="62" t="s">
        <v>989</v>
      </c>
      <c r="S47" s="62" t="s">
        <v>1073</v>
      </c>
      <c r="T47" s="62" t="s">
        <v>989</v>
      </c>
      <c r="U47" s="62" t="s">
        <v>989</v>
      </c>
      <c r="V47" s="61" t="s">
        <v>1052</v>
      </c>
      <c r="W47" s="61" t="s">
        <v>1018</v>
      </c>
      <c r="X47" s="61" t="s">
        <v>507</v>
      </c>
      <c r="Y47" s="61" t="s">
        <v>562</v>
      </c>
      <c r="Z47" s="61" t="s">
        <v>736</v>
      </c>
      <c r="AA47" s="61" t="s">
        <v>751</v>
      </c>
      <c r="AB47" s="61" t="s">
        <v>850</v>
      </c>
      <c r="AC47" s="61" t="s">
        <v>779</v>
      </c>
      <c r="AD47" s="61" t="s">
        <v>804</v>
      </c>
      <c r="AE47" s="61" t="s">
        <v>814</v>
      </c>
      <c r="AF47" s="61" t="s">
        <v>825</v>
      </c>
      <c r="AG47" s="61" t="s">
        <v>825</v>
      </c>
      <c r="AH47" s="61" t="s">
        <v>825</v>
      </c>
      <c r="AI47" s="61" t="s">
        <v>828</v>
      </c>
      <c r="AJ47" s="61" t="s">
        <v>771</v>
      </c>
      <c r="AK47" s="61" t="s">
        <v>1046</v>
      </c>
      <c r="AL47" s="61" t="s">
        <v>52</v>
      </c>
      <c r="AM47" s="61" t="s">
        <v>412</v>
      </c>
      <c r="AN47" s="61" t="s">
        <v>52</v>
      </c>
      <c r="AO47" s="61" t="s">
        <v>1010</v>
      </c>
      <c r="AP47" s="61" t="s">
        <v>491</v>
      </c>
      <c r="AQ47" s="61" t="s">
        <v>196</v>
      </c>
      <c r="AR47" s="61" t="s">
        <v>52</v>
      </c>
      <c r="AS47" s="61" t="s">
        <v>51</v>
      </c>
      <c r="AT47" s="61" t="s">
        <v>157</v>
      </c>
      <c r="AU47" s="61" t="s">
        <v>1116</v>
      </c>
      <c r="AV47" s="274" t="s">
        <v>953</v>
      </c>
      <c r="AW47" s="61" t="s">
        <v>936</v>
      </c>
      <c r="AX47" s="274" t="s">
        <v>953</v>
      </c>
      <c r="AY47" s="61" t="s">
        <v>477</v>
      </c>
      <c r="AZ47" s="274" t="s">
        <v>953</v>
      </c>
      <c r="BA47" s="274" t="s">
        <v>951</v>
      </c>
      <c r="BB47" s="61" t="s">
        <v>684</v>
      </c>
      <c r="BC47" s="274" t="s">
        <v>951</v>
      </c>
      <c r="BD47" s="61" t="s">
        <v>136</v>
      </c>
      <c r="BE47" s="274" t="s">
        <v>145</v>
      </c>
      <c r="BF47" s="248">
        <v>15</v>
      </c>
      <c r="BG47" s="15"/>
      <c r="BH47" s="15"/>
      <c r="BI47" s="15"/>
      <c r="BJ47" s="15"/>
    </row>
    <row r="48" spans="1:62" ht="12.75">
      <c r="A48" s="247">
        <v>46</v>
      </c>
      <c r="B48" s="30"/>
      <c r="C48" s="32"/>
      <c r="D48" s="86" t="s">
        <v>1073</v>
      </c>
      <c r="E48" s="86" t="s">
        <v>1073</v>
      </c>
      <c r="F48" s="86" t="s">
        <v>1073</v>
      </c>
      <c r="G48" s="86" t="s">
        <v>1073</v>
      </c>
      <c r="H48" s="62" t="s">
        <v>113</v>
      </c>
      <c r="I48" s="62" t="s">
        <v>120</v>
      </c>
      <c r="J48" s="61" t="s">
        <v>708</v>
      </c>
      <c r="K48" s="62" t="s">
        <v>122</v>
      </c>
      <c r="L48" s="62" t="s">
        <v>113</v>
      </c>
      <c r="M48" s="61" t="s">
        <v>337</v>
      </c>
      <c r="N48" s="62" t="s">
        <v>113</v>
      </c>
      <c r="O48" s="62" t="s">
        <v>113</v>
      </c>
      <c r="P48" s="62" t="s">
        <v>337</v>
      </c>
      <c r="Q48" s="62" t="s">
        <v>1073</v>
      </c>
      <c r="R48" s="62" t="s">
        <v>1073</v>
      </c>
      <c r="S48" s="62" t="s">
        <v>1073</v>
      </c>
      <c r="T48" s="62" t="s">
        <v>1073</v>
      </c>
      <c r="U48" s="62" t="s">
        <v>1073</v>
      </c>
      <c r="V48" s="62" t="s">
        <v>1073</v>
      </c>
      <c r="W48" s="62" t="s">
        <v>1073</v>
      </c>
      <c r="X48" s="62" t="s">
        <v>1073</v>
      </c>
      <c r="Y48" s="62" t="s">
        <v>1073</v>
      </c>
      <c r="Z48" s="62" t="s">
        <v>1073</v>
      </c>
      <c r="AA48" s="62" t="s">
        <v>1073</v>
      </c>
      <c r="AB48" s="62" t="s">
        <v>1073</v>
      </c>
      <c r="AC48" s="62" t="s">
        <v>1073</v>
      </c>
      <c r="AD48" s="62" t="s">
        <v>1073</v>
      </c>
      <c r="AE48" s="62" t="s">
        <v>1073</v>
      </c>
      <c r="AF48" s="62" t="s">
        <v>1073</v>
      </c>
      <c r="AG48" s="62" t="s">
        <v>1073</v>
      </c>
      <c r="AH48" s="62" t="s">
        <v>1073</v>
      </c>
      <c r="AI48" s="62" t="s">
        <v>1073</v>
      </c>
      <c r="AJ48" s="62" t="s">
        <v>1073</v>
      </c>
      <c r="AK48" s="62" t="s">
        <v>1073</v>
      </c>
      <c r="AL48" s="61" t="s">
        <v>52</v>
      </c>
      <c r="AM48" s="62" t="s">
        <v>1073</v>
      </c>
      <c r="AN48" s="61" t="s">
        <v>52</v>
      </c>
      <c r="AO48" s="61" t="s">
        <v>1010</v>
      </c>
      <c r="AP48" s="62" t="s">
        <v>1073</v>
      </c>
      <c r="AQ48" s="62" t="s">
        <v>1073</v>
      </c>
      <c r="AR48" s="61" t="s">
        <v>52</v>
      </c>
      <c r="AS48" s="61" t="s">
        <v>51</v>
      </c>
      <c r="AT48" s="61" t="s">
        <v>157</v>
      </c>
      <c r="AU48" s="61" t="s">
        <v>157</v>
      </c>
      <c r="AV48" s="274" t="s">
        <v>953</v>
      </c>
      <c r="AW48" s="62" t="s">
        <v>1073</v>
      </c>
      <c r="AX48" s="274" t="s">
        <v>953</v>
      </c>
      <c r="AY48" s="61" t="s">
        <v>157</v>
      </c>
      <c r="AZ48" s="274" t="s">
        <v>953</v>
      </c>
      <c r="BA48" s="274" t="s">
        <v>951</v>
      </c>
      <c r="BB48" s="62" t="s">
        <v>1073</v>
      </c>
      <c r="BC48" s="274" t="s">
        <v>951</v>
      </c>
      <c r="BD48" s="61" t="s">
        <v>157</v>
      </c>
      <c r="BE48" s="274" t="s">
        <v>145</v>
      </c>
      <c r="BF48" s="248">
        <v>16</v>
      </c>
      <c r="BG48" s="15"/>
      <c r="BH48" s="15"/>
      <c r="BI48" s="15"/>
      <c r="BJ48" s="15"/>
    </row>
    <row r="49" spans="1:62" ht="12.75">
      <c r="A49" s="247">
        <v>47</v>
      </c>
      <c r="B49" s="30"/>
      <c r="C49" s="32"/>
      <c r="D49" s="86" t="s">
        <v>1073</v>
      </c>
      <c r="E49" s="86" t="s">
        <v>1073</v>
      </c>
      <c r="F49" s="86" t="s">
        <v>1073</v>
      </c>
      <c r="G49" s="86" t="s">
        <v>1073</v>
      </c>
      <c r="H49" s="62" t="s">
        <v>113</v>
      </c>
      <c r="I49" s="62" t="s">
        <v>113</v>
      </c>
      <c r="J49" s="62" t="s">
        <v>113</v>
      </c>
      <c r="K49" s="61" t="s">
        <v>337</v>
      </c>
      <c r="L49" s="95" t="s">
        <v>224</v>
      </c>
      <c r="M49" s="62" t="s">
        <v>113</v>
      </c>
      <c r="N49" s="62" t="s">
        <v>113</v>
      </c>
      <c r="O49" s="62" t="s">
        <v>113</v>
      </c>
      <c r="P49" s="62" t="s">
        <v>337</v>
      </c>
      <c r="Q49" s="62" t="s">
        <v>1073</v>
      </c>
      <c r="R49" s="62" t="s">
        <v>1073</v>
      </c>
      <c r="S49" s="62" t="s">
        <v>1073</v>
      </c>
      <c r="T49" s="62" t="s">
        <v>1073</v>
      </c>
      <c r="U49" s="62" t="s">
        <v>1073</v>
      </c>
      <c r="V49" s="62" t="s">
        <v>1073</v>
      </c>
      <c r="W49" s="62" t="s">
        <v>1073</v>
      </c>
      <c r="X49" s="62" t="s">
        <v>1073</v>
      </c>
      <c r="Y49" s="62" t="s">
        <v>1073</v>
      </c>
      <c r="Z49" s="62" t="s">
        <v>1073</v>
      </c>
      <c r="AA49" s="62" t="s">
        <v>1073</v>
      </c>
      <c r="AB49" s="62" t="s">
        <v>1073</v>
      </c>
      <c r="AC49" s="62" t="s">
        <v>1073</v>
      </c>
      <c r="AD49" s="62" t="s">
        <v>1073</v>
      </c>
      <c r="AE49" s="62" t="s">
        <v>1073</v>
      </c>
      <c r="AF49" s="62" t="s">
        <v>1073</v>
      </c>
      <c r="AG49" s="62" t="s">
        <v>1073</v>
      </c>
      <c r="AH49" s="62" t="s">
        <v>1073</v>
      </c>
      <c r="AI49" s="62" t="s">
        <v>1073</v>
      </c>
      <c r="AJ49" s="62" t="s">
        <v>1073</v>
      </c>
      <c r="AK49" s="62" t="s">
        <v>1073</v>
      </c>
      <c r="AL49" s="62" t="s">
        <v>1073</v>
      </c>
      <c r="AM49" s="62" t="s">
        <v>1073</v>
      </c>
      <c r="AN49" s="62" t="s">
        <v>1073</v>
      </c>
      <c r="AO49" s="62" t="s">
        <v>1073</v>
      </c>
      <c r="AP49" s="62" t="s">
        <v>1073</v>
      </c>
      <c r="AQ49" s="62" t="s">
        <v>1073</v>
      </c>
      <c r="AR49" s="62" t="s">
        <v>1073</v>
      </c>
      <c r="AS49" s="61" t="s">
        <v>52</v>
      </c>
      <c r="AT49" s="62" t="s">
        <v>1073</v>
      </c>
      <c r="AU49" s="62" t="s">
        <v>1073</v>
      </c>
      <c r="AV49" s="274" t="s">
        <v>953</v>
      </c>
      <c r="AW49" s="62" t="s">
        <v>1073</v>
      </c>
      <c r="AX49" s="274" t="s">
        <v>953</v>
      </c>
      <c r="AY49" s="62" t="s">
        <v>1073</v>
      </c>
      <c r="AZ49" s="274" t="s">
        <v>953</v>
      </c>
      <c r="BA49" s="274" t="s">
        <v>951</v>
      </c>
      <c r="BB49" s="62" t="s">
        <v>1073</v>
      </c>
      <c r="BC49" s="274" t="s">
        <v>951</v>
      </c>
      <c r="BD49" s="62" t="s">
        <v>1073</v>
      </c>
      <c r="BE49" s="274" t="s">
        <v>951</v>
      </c>
      <c r="BF49" s="248">
        <v>17</v>
      </c>
      <c r="BG49" s="15"/>
      <c r="BH49" s="15"/>
      <c r="BI49" s="15"/>
      <c r="BJ49" s="15"/>
    </row>
    <row r="50" spans="1:62" ht="12.75">
      <c r="A50" s="247">
        <v>48</v>
      </c>
      <c r="B50" s="30"/>
      <c r="C50" s="32"/>
      <c r="D50" s="86" t="s">
        <v>1073</v>
      </c>
      <c r="E50" s="86" t="s">
        <v>1073</v>
      </c>
      <c r="F50" s="86" t="s">
        <v>1073</v>
      </c>
      <c r="G50" s="86" t="s">
        <v>1073</v>
      </c>
      <c r="H50" s="62" t="s">
        <v>113</v>
      </c>
      <c r="I50" s="62" t="s">
        <v>113</v>
      </c>
      <c r="J50" s="62" t="s">
        <v>113</v>
      </c>
      <c r="K50" s="61" t="s">
        <v>337</v>
      </c>
      <c r="L50" s="62" t="s">
        <v>113</v>
      </c>
      <c r="M50" s="62" t="s">
        <v>113</v>
      </c>
      <c r="N50" s="62" t="s">
        <v>113</v>
      </c>
      <c r="O50" s="62" t="s">
        <v>113</v>
      </c>
      <c r="P50" s="62" t="s">
        <v>337</v>
      </c>
      <c r="Q50" s="62" t="s">
        <v>1073</v>
      </c>
      <c r="R50" s="62" t="s">
        <v>1073</v>
      </c>
      <c r="S50" s="62" t="s">
        <v>1073</v>
      </c>
      <c r="T50" s="62" t="s">
        <v>1073</v>
      </c>
      <c r="U50" s="62" t="s">
        <v>1073</v>
      </c>
      <c r="V50" s="62" t="s">
        <v>1073</v>
      </c>
      <c r="W50" s="62" t="s">
        <v>1073</v>
      </c>
      <c r="X50" s="62" t="s">
        <v>1073</v>
      </c>
      <c r="Y50" s="62" t="s">
        <v>1073</v>
      </c>
      <c r="Z50" s="62" t="s">
        <v>1073</v>
      </c>
      <c r="AA50" s="62" t="s">
        <v>1073</v>
      </c>
      <c r="AB50" s="62" t="s">
        <v>1073</v>
      </c>
      <c r="AC50" s="62" t="s">
        <v>1073</v>
      </c>
      <c r="AD50" s="62" t="s">
        <v>1073</v>
      </c>
      <c r="AE50" s="62" t="s">
        <v>1073</v>
      </c>
      <c r="AF50" s="62" t="s">
        <v>1073</v>
      </c>
      <c r="AG50" s="62" t="s">
        <v>1073</v>
      </c>
      <c r="AH50" s="62" t="s">
        <v>1073</v>
      </c>
      <c r="AI50" s="62" t="s">
        <v>1073</v>
      </c>
      <c r="AJ50" s="62" t="s">
        <v>1073</v>
      </c>
      <c r="AK50" s="62" t="s">
        <v>1073</v>
      </c>
      <c r="AL50" s="62" t="s">
        <v>1073</v>
      </c>
      <c r="AM50" s="62" t="s">
        <v>1073</v>
      </c>
      <c r="AN50" s="62" t="s">
        <v>1073</v>
      </c>
      <c r="AO50" s="62" t="s">
        <v>1073</v>
      </c>
      <c r="AP50" s="62" t="s">
        <v>1073</v>
      </c>
      <c r="AQ50" s="62" t="s">
        <v>1073</v>
      </c>
      <c r="AR50" s="62" t="s">
        <v>1073</v>
      </c>
      <c r="AS50" s="61" t="s">
        <v>52</v>
      </c>
      <c r="AT50" s="62" t="s">
        <v>1073</v>
      </c>
      <c r="AU50" s="62" t="s">
        <v>1073</v>
      </c>
      <c r="AV50" s="274" t="s">
        <v>953</v>
      </c>
      <c r="AW50" s="62" t="s">
        <v>1073</v>
      </c>
      <c r="AX50" s="274" t="s">
        <v>953</v>
      </c>
      <c r="AY50" s="62" t="s">
        <v>1073</v>
      </c>
      <c r="AZ50" s="274" t="s">
        <v>953</v>
      </c>
      <c r="BA50" s="274" t="s">
        <v>951</v>
      </c>
      <c r="BB50" s="62" t="s">
        <v>1073</v>
      </c>
      <c r="BC50" s="274" t="s">
        <v>951</v>
      </c>
      <c r="BD50" s="62" t="s">
        <v>1073</v>
      </c>
      <c r="BE50" s="274" t="s">
        <v>951</v>
      </c>
      <c r="BF50" s="248">
        <v>18</v>
      </c>
      <c r="BG50" s="15"/>
      <c r="BH50" s="15"/>
      <c r="BI50" s="15"/>
      <c r="BJ50" s="15"/>
    </row>
    <row r="51" spans="1:62" ht="12.75">
      <c r="A51" s="247">
        <v>49</v>
      </c>
      <c r="B51" s="30"/>
      <c r="C51" s="32"/>
      <c r="D51" s="86" t="s">
        <v>1073</v>
      </c>
      <c r="E51" s="86" t="s">
        <v>1073</v>
      </c>
      <c r="F51" s="86" t="s">
        <v>1073</v>
      </c>
      <c r="G51" s="86" t="s">
        <v>1073</v>
      </c>
      <c r="H51" s="86" t="s">
        <v>1073</v>
      </c>
      <c r="I51" s="86" t="s">
        <v>1073</v>
      </c>
      <c r="J51" s="86" t="s">
        <v>1073</v>
      </c>
      <c r="K51" s="86" t="s">
        <v>1073</v>
      </c>
      <c r="L51" s="62" t="s">
        <v>122</v>
      </c>
      <c r="M51" s="62" t="s">
        <v>224</v>
      </c>
      <c r="N51" s="62" t="s">
        <v>113</v>
      </c>
      <c r="O51" s="62" t="s">
        <v>224</v>
      </c>
      <c r="P51" s="62" t="s">
        <v>224</v>
      </c>
      <c r="Q51" s="62" t="s">
        <v>1073</v>
      </c>
      <c r="R51" s="62" t="s">
        <v>1073</v>
      </c>
      <c r="S51" s="62" t="s">
        <v>1073</v>
      </c>
      <c r="T51" s="62" t="s">
        <v>1073</v>
      </c>
      <c r="U51" s="62" t="s">
        <v>1073</v>
      </c>
      <c r="V51" s="62" t="s">
        <v>1073</v>
      </c>
      <c r="W51" s="62" t="s">
        <v>1073</v>
      </c>
      <c r="X51" s="62" t="s">
        <v>1073</v>
      </c>
      <c r="Y51" s="62" t="s">
        <v>1073</v>
      </c>
      <c r="Z51" s="62" t="s">
        <v>1073</v>
      </c>
      <c r="AA51" s="62" t="s">
        <v>1073</v>
      </c>
      <c r="AB51" s="62" t="s">
        <v>1073</v>
      </c>
      <c r="AC51" s="62" t="s">
        <v>1073</v>
      </c>
      <c r="AD51" s="62" t="s">
        <v>1073</v>
      </c>
      <c r="AE51" s="62" t="s">
        <v>1073</v>
      </c>
      <c r="AF51" s="62" t="s">
        <v>1073</v>
      </c>
      <c r="AG51" s="62" t="s">
        <v>1073</v>
      </c>
      <c r="AH51" s="62" t="s">
        <v>1073</v>
      </c>
      <c r="AI51" s="62" t="s">
        <v>1073</v>
      </c>
      <c r="AJ51" s="62" t="s">
        <v>1073</v>
      </c>
      <c r="AK51" s="62" t="s">
        <v>1073</v>
      </c>
      <c r="AL51" s="62" t="s">
        <v>1073</v>
      </c>
      <c r="AM51" s="62" t="s">
        <v>1073</v>
      </c>
      <c r="AN51" s="62" t="s">
        <v>1073</v>
      </c>
      <c r="AO51" s="62" t="s">
        <v>1073</v>
      </c>
      <c r="AP51" s="62" t="s">
        <v>1073</v>
      </c>
      <c r="AQ51" s="62" t="s">
        <v>1073</v>
      </c>
      <c r="AR51" s="62" t="s">
        <v>1073</v>
      </c>
      <c r="AS51" s="61" t="s">
        <v>52</v>
      </c>
      <c r="AT51" s="62" t="s">
        <v>1073</v>
      </c>
      <c r="AU51" s="62" t="s">
        <v>1073</v>
      </c>
      <c r="AV51" s="274" t="s">
        <v>953</v>
      </c>
      <c r="AW51" s="62" t="s">
        <v>1073</v>
      </c>
      <c r="AX51" s="274" t="s">
        <v>953</v>
      </c>
      <c r="AY51" s="62" t="s">
        <v>1073</v>
      </c>
      <c r="AZ51" s="274" t="s">
        <v>953</v>
      </c>
      <c r="BA51" s="274" t="s">
        <v>952</v>
      </c>
      <c r="BB51" s="62" t="s">
        <v>1073</v>
      </c>
      <c r="BC51" s="274" t="s">
        <v>952</v>
      </c>
      <c r="BD51" s="62" t="s">
        <v>1073</v>
      </c>
      <c r="BE51" s="274" t="s">
        <v>146</v>
      </c>
      <c r="BF51" s="248">
        <v>19</v>
      </c>
      <c r="BG51" s="15"/>
      <c r="BH51" s="15"/>
      <c r="BI51" s="15"/>
      <c r="BJ51" s="15"/>
    </row>
    <row r="52" spans="1:62" ht="12.75">
      <c r="A52" s="247">
        <v>50</v>
      </c>
      <c r="B52" s="30"/>
      <c r="C52" s="32"/>
      <c r="D52" s="86" t="s">
        <v>1073</v>
      </c>
      <c r="E52" s="86" t="s">
        <v>1073</v>
      </c>
      <c r="F52" s="86" t="s">
        <v>1073</v>
      </c>
      <c r="G52" s="86" t="s">
        <v>1073</v>
      </c>
      <c r="H52" s="86" t="s">
        <v>1073</v>
      </c>
      <c r="I52" s="86" t="s">
        <v>1073</v>
      </c>
      <c r="J52" s="86" t="s">
        <v>1073</v>
      </c>
      <c r="K52" s="86" t="s">
        <v>1073</v>
      </c>
      <c r="L52" s="62" t="s">
        <v>122</v>
      </c>
      <c r="M52" s="62" t="s">
        <v>224</v>
      </c>
      <c r="N52" s="62" t="s">
        <v>113</v>
      </c>
      <c r="O52" s="62" t="s">
        <v>224</v>
      </c>
      <c r="P52" s="62" t="s">
        <v>224</v>
      </c>
      <c r="Q52" s="62" t="s">
        <v>1073</v>
      </c>
      <c r="R52" s="62" t="s">
        <v>1073</v>
      </c>
      <c r="S52" s="62" t="s">
        <v>1073</v>
      </c>
      <c r="T52" s="62" t="s">
        <v>1073</v>
      </c>
      <c r="U52" s="62" t="s">
        <v>1073</v>
      </c>
      <c r="V52" s="62" t="s">
        <v>1073</v>
      </c>
      <c r="W52" s="62" t="s">
        <v>1073</v>
      </c>
      <c r="X52" s="62" t="s">
        <v>1073</v>
      </c>
      <c r="Y52" s="62" t="s">
        <v>1073</v>
      </c>
      <c r="Z52" s="62" t="s">
        <v>1073</v>
      </c>
      <c r="AA52" s="62" t="s">
        <v>1073</v>
      </c>
      <c r="AB52" s="62" t="s">
        <v>1073</v>
      </c>
      <c r="AC52" s="62" t="s">
        <v>1073</v>
      </c>
      <c r="AD52" s="62" t="s">
        <v>1073</v>
      </c>
      <c r="AE52" s="62" t="s">
        <v>1073</v>
      </c>
      <c r="AF52" s="62" t="s">
        <v>1073</v>
      </c>
      <c r="AG52" s="62" t="s">
        <v>1073</v>
      </c>
      <c r="AH52" s="62" t="s">
        <v>1073</v>
      </c>
      <c r="AI52" s="62" t="s">
        <v>1073</v>
      </c>
      <c r="AJ52" s="62" t="s">
        <v>1073</v>
      </c>
      <c r="AK52" s="62" t="s">
        <v>1073</v>
      </c>
      <c r="AL52" s="62" t="s">
        <v>1073</v>
      </c>
      <c r="AM52" s="62" t="s">
        <v>1073</v>
      </c>
      <c r="AN52" s="62" t="s">
        <v>1073</v>
      </c>
      <c r="AO52" s="62" t="s">
        <v>1073</v>
      </c>
      <c r="AP52" s="62" t="s">
        <v>1073</v>
      </c>
      <c r="AQ52" s="62" t="s">
        <v>1073</v>
      </c>
      <c r="AR52" s="62" t="s">
        <v>1073</v>
      </c>
      <c r="AS52" s="62" t="s">
        <v>1073</v>
      </c>
      <c r="AT52" s="62" t="s">
        <v>1073</v>
      </c>
      <c r="AU52" s="62" t="s">
        <v>1073</v>
      </c>
      <c r="AV52" s="274" t="s">
        <v>953</v>
      </c>
      <c r="AW52" s="62" t="s">
        <v>1073</v>
      </c>
      <c r="AX52" s="274" t="s">
        <v>953</v>
      </c>
      <c r="AY52" s="62" t="s">
        <v>1073</v>
      </c>
      <c r="AZ52" s="274" t="s">
        <v>953</v>
      </c>
      <c r="BA52" s="274" t="s">
        <v>952</v>
      </c>
      <c r="BB52" s="62" t="s">
        <v>1073</v>
      </c>
      <c r="BC52" s="274" t="s">
        <v>952</v>
      </c>
      <c r="BD52" s="62" t="s">
        <v>1073</v>
      </c>
      <c r="BE52" s="274" t="s">
        <v>146</v>
      </c>
      <c r="BF52" s="248">
        <v>20</v>
      </c>
      <c r="BG52" s="15"/>
      <c r="BH52" s="15"/>
      <c r="BI52" s="15"/>
      <c r="BJ52" s="15"/>
    </row>
    <row r="53" spans="1:62" ht="12.75">
      <c r="A53" s="247">
        <v>51</v>
      </c>
      <c r="B53" s="30"/>
      <c r="C53" s="32"/>
      <c r="D53" s="86" t="s">
        <v>1073</v>
      </c>
      <c r="E53" s="86" t="s">
        <v>1073</v>
      </c>
      <c r="F53" s="86" t="s">
        <v>1073</v>
      </c>
      <c r="G53" s="86" t="s">
        <v>1073</v>
      </c>
      <c r="H53" s="86" t="s">
        <v>1073</v>
      </c>
      <c r="I53" s="86" t="s">
        <v>1073</v>
      </c>
      <c r="J53" s="86" t="s">
        <v>1073</v>
      </c>
      <c r="K53" s="86" t="s">
        <v>1073</v>
      </c>
      <c r="L53" s="62" t="s">
        <v>113</v>
      </c>
      <c r="M53" s="62" t="s">
        <v>113</v>
      </c>
      <c r="N53" s="62" t="s">
        <v>283</v>
      </c>
      <c r="O53" s="62" t="s">
        <v>113</v>
      </c>
      <c r="P53" s="62" t="s">
        <v>288</v>
      </c>
      <c r="Q53" s="62" t="s">
        <v>1073</v>
      </c>
      <c r="R53" s="62" t="s">
        <v>1073</v>
      </c>
      <c r="S53" s="62" t="s">
        <v>1073</v>
      </c>
      <c r="T53" s="62" t="s">
        <v>1073</v>
      </c>
      <c r="U53" s="62" t="s">
        <v>1073</v>
      </c>
      <c r="V53" s="62" t="s">
        <v>1073</v>
      </c>
      <c r="W53" s="62" t="s">
        <v>1073</v>
      </c>
      <c r="X53" s="62" t="s">
        <v>1073</v>
      </c>
      <c r="Y53" s="62" t="s">
        <v>1073</v>
      </c>
      <c r="Z53" s="62" t="s">
        <v>1073</v>
      </c>
      <c r="AA53" s="62" t="s">
        <v>1073</v>
      </c>
      <c r="AB53" s="62" t="s">
        <v>1073</v>
      </c>
      <c r="AC53" s="62" t="s">
        <v>1073</v>
      </c>
      <c r="AD53" s="62" t="s">
        <v>1073</v>
      </c>
      <c r="AE53" s="62" t="s">
        <v>1073</v>
      </c>
      <c r="AF53" s="62" t="s">
        <v>1073</v>
      </c>
      <c r="AG53" s="62" t="s">
        <v>1073</v>
      </c>
      <c r="AH53" s="62" t="s">
        <v>1073</v>
      </c>
      <c r="AI53" s="62" t="s">
        <v>1073</v>
      </c>
      <c r="AJ53" s="62" t="s">
        <v>1073</v>
      </c>
      <c r="AK53" s="62" t="s">
        <v>1073</v>
      </c>
      <c r="AL53" s="62" t="s">
        <v>1073</v>
      </c>
      <c r="AM53" s="62" t="s">
        <v>1073</v>
      </c>
      <c r="AN53" s="62" t="s">
        <v>1073</v>
      </c>
      <c r="AO53" s="62" t="s">
        <v>1073</v>
      </c>
      <c r="AP53" s="62" t="s">
        <v>1073</v>
      </c>
      <c r="AQ53" s="62" t="s">
        <v>1073</v>
      </c>
      <c r="AR53" s="62" t="s">
        <v>1073</v>
      </c>
      <c r="AS53" s="62" t="s">
        <v>1073</v>
      </c>
      <c r="AT53" s="62" t="s">
        <v>1073</v>
      </c>
      <c r="AU53" s="62" t="s">
        <v>1073</v>
      </c>
      <c r="AV53" s="274" t="s">
        <v>953</v>
      </c>
      <c r="AW53" s="62" t="s">
        <v>1073</v>
      </c>
      <c r="AX53" s="274" t="s">
        <v>953</v>
      </c>
      <c r="AY53" s="62" t="s">
        <v>1073</v>
      </c>
      <c r="AZ53" s="274" t="s">
        <v>953</v>
      </c>
      <c r="BA53" s="274" t="s">
        <v>952</v>
      </c>
      <c r="BB53" s="62" t="s">
        <v>1073</v>
      </c>
      <c r="BC53" s="274" t="s">
        <v>952</v>
      </c>
      <c r="BD53" s="62" t="s">
        <v>1073</v>
      </c>
      <c r="BE53" s="274" t="s">
        <v>952</v>
      </c>
      <c r="BF53" s="248">
        <v>21</v>
      </c>
      <c r="BG53" s="15"/>
      <c r="BH53" s="15"/>
      <c r="BI53" s="15"/>
      <c r="BJ53" s="15"/>
    </row>
    <row r="54" spans="1:62" ht="12.75">
      <c r="A54" s="247">
        <v>52</v>
      </c>
      <c r="B54" s="30"/>
      <c r="C54" s="32"/>
      <c r="D54" s="86" t="s">
        <v>1073</v>
      </c>
      <c r="E54" s="86" t="s">
        <v>1073</v>
      </c>
      <c r="F54" s="86" t="s">
        <v>1073</v>
      </c>
      <c r="G54" s="86" t="s">
        <v>1073</v>
      </c>
      <c r="H54" s="86" t="s">
        <v>1073</v>
      </c>
      <c r="I54" s="86" t="s">
        <v>1073</v>
      </c>
      <c r="J54" s="86" t="s">
        <v>1073</v>
      </c>
      <c r="K54" s="86" t="s">
        <v>1073</v>
      </c>
      <c r="L54" s="62" t="s">
        <v>113</v>
      </c>
      <c r="M54" s="62" t="s">
        <v>113</v>
      </c>
      <c r="N54" s="62" t="s">
        <v>283</v>
      </c>
      <c r="O54" s="62" t="s">
        <v>113</v>
      </c>
      <c r="P54" s="62" t="s">
        <v>288</v>
      </c>
      <c r="Q54" s="62" t="s">
        <v>1073</v>
      </c>
      <c r="R54" s="62" t="s">
        <v>1073</v>
      </c>
      <c r="S54" s="62" t="s">
        <v>1073</v>
      </c>
      <c r="T54" s="62" t="s">
        <v>1073</v>
      </c>
      <c r="U54" s="62" t="s">
        <v>1073</v>
      </c>
      <c r="V54" s="62" t="s">
        <v>1073</v>
      </c>
      <c r="W54" s="62" t="s">
        <v>1073</v>
      </c>
      <c r="X54" s="62" t="s">
        <v>1073</v>
      </c>
      <c r="Y54" s="62" t="s">
        <v>1073</v>
      </c>
      <c r="Z54" s="62" t="s">
        <v>1073</v>
      </c>
      <c r="AA54" s="62" t="s">
        <v>1073</v>
      </c>
      <c r="AB54" s="62" t="s">
        <v>1073</v>
      </c>
      <c r="AC54" s="62" t="s">
        <v>1073</v>
      </c>
      <c r="AD54" s="62" t="s">
        <v>1073</v>
      </c>
      <c r="AE54" s="62" t="s">
        <v>1073</v>
      </c>
      <c r="AF54" s="62" t="s">
        <v>1073</v>
      </c>
      <c r="AG54" s="62" t="s">
        <v>1073</v>
      </c>
      <c r="AH54" s="62" t="s">
        <v>1073</v>
      </c>
      <c r="AI54" s="62" t="s">
        <v>1073</v>
      </c>
      <c r="AJ54" s="62" t="s">
        <v>1073</v>
      </c>
      <c r="AK54" s="62" t="s">
        <v>1073</v>
      </c>
      <c r="AL54" s="62" t="s">
        <v>1073</v>
      </c>
      <c r="AM54" s="62" t="s">
        <v>1073</v>
      </c>
      <c r="AN54" s="62" t="s">
        <v>1073</v>
      </c>
      <c r="AO54" s="62" t="s">
        <v>1073</v>
      </c>
      <c r="AP54" s="62" t="s">
        <v>1073</v>
      </c>
      <c r="AQ54" s="62" t="s">
        <v>1073</v>
      </c>
      <c r="AR54" s="62" t="s">
        <v>1073</v>
      </c>
      <c r="AS54" s="62" t="s">
        <v>1073</v>
      </c>
      <c r="AT54" s="62" t="s">
        <v>1073</v>
      </c>
      <c r="AU54" s="62" t="s">
        <v>1073</v>
      </c>
      <c r="AV54" s="274" t="s">
        <v>953</v>
      </c>
      <c r="AW54" s="62" t="s">
        <v>1073</v>
      </c>
      <c r="AX54" s="274" t="s">
        <v>953</v>
      </c>
      <c r="AY54" s="62" t="s">
        <v>1073</v>
      </c>
      <c r="AZ54" s="274" t="s">
        <v>953</v>
      </c>
      <c r="BA54" s="274" t="s">
        <v>952</v>
      </c>
      <c r="BB54" s="62" t="s">
        <v>1073</v>
      </c>
      <c r="BC54" s="274" t="s">
        <v>952</v>
      </c>
      <c r="BD54" s="62" t="s">
        <v>1073</v>
      </c>
      <c r="BE54" s="274" t="s">
        <v>952</v>
      </c>
      <c r="BF54" s="248">
        <v>22</v>
      </c>
      <c r="BG54" s="15"/>
      <c r="BH54" s="15"/>
      <c r="BI54" s="15"/>
      <c r="BJ54" s="15"/>
    </row>
    <row r="55" spans="1:62" ht="12.75">
      <c r="A55" s="247">
        <v>53</v>
      </c>
      <c r="B55" s="30"/>
      <c r="C55" s="32"/>
      <c r="D55" s="86" t="s">
        <v>1073</v>
      </c>
      <c r="E55" s="86" t="s">
        <v>1073</v>
      </c>
      <c r="F55" s="86" t="s">
        <v>1073</v>
      </c>
      <c r="G55" s="86" t="s">
        <v>1073</v>
      </c>
      <c r="H55" s="86" t="s">
        <v>1073</v>
      </c>
      <c r="I55" s="86" t="s">
        <v>1073</v>
      </c>
      <c r="J55" s="86" t="s">
        <v>1073</v>
      </c>
      <c r="K55" s="86" t="s">
        <v>1073</v>
      </c>
      <c r="L55" s="95" t="s">
        <v>222</v>
      </c>
      <c r="M55" s="62" t="s">
        <v>263</v>
      </c>
      <c r="N55" s="62" t="s">
        <v>283</v>
      </c>
      <c r="O55" s="62" t="s">
        <v>263</v>
      </c>
      <c r="P55" s="62" t="s">
        <v>263</v>
      </c>
      <c r="Q55" s="62" t="s">
        <v>1073</v>
      </c>
      <c r="R55" s="62" t="s">
        <v>1073</v>
      </c>
      <c r="S55" s="62" t="s">
        <v>1073</v>
      </c>
      <c r="T55" s="62" t="s">
        <v>1073</v>
      </c>
      <c r="U55" s="62" t="s">
        <v>1073</v>
      </c>
      <c r="V55" s="62" t="s">
        <v>1073</v>
      </c>
      <c r="W55" s="62" t="s">
        <v>1073</v>
      </c>
      <c r="X55" s="62" t="s">
        <v>1073</v>
      </c>
      <c r="Y55" s="62" t="s">
        <v>1073</v>
      </c>
      <c r="Z55" s="62" t="s">
        <v>1073</v>
      </c>
      <c r="AA55" s="62" t="s">
        <v>1073</v>
      </c>
      <c r="AB55" s="62" t="s">
        <v>1073</v>
      </c>
      <c r="AC55" s="62" t="s">
        <v>1073</v>
      </c>
      <c r="AD55" s="62" t="s">
        <v>1073</v>
      </c>
      <c r="AE55" s="62" t="s">
        <v>1073</v>
      </c>
      <c r="AF55" s="62" t="s">
        <v>1073</v>
      </c>
      <c r="AG55" s="62" t="s">
        <v>1073</v>
      </c>
      <c r="AH55" s="62" t="s">
        <v>1073</v>
      </c>
      <c r="AI55" s="62" t="s">
        <v>1073</v>
      </c>
      <c r="AJ55" s="62" t="s">
        <v>1073</v>
      </c>
      <c r="AK55" s="62" t="s">
        <v>1073</v>
      </c>
      <c r="AL55" s="62" t="s">
        <v>1073</v>
      </c>
      <c r="AM55" s="62" t="s">
        <v>1073</v>
      </c>
      <c r="AN55" s="62" t="s">
        <v>1073</v>
      </c>
      <c r="AO55" s="62" t="s">
        <v>1073</v>
      </c>
      <c r="AP55" s="62" t="s">
        <v>1073</v>
      </c>
      <c r="AQ55" s="62" t="s">
        <v>1073</v>
      </c>
      <c r="AR55" s="62" t="s">
        <v>1073</v>
      </c>
      <c r="AS55" s="62" t="s">
        <v>1073</v>
      </c>
      <c r="AT55" s="62" t="s">
        <v>1073</v>
      </c>
      <c r="AU55" s="62" t="s">
        <v>1073</v>
      </c>
      <c r="AV55" s="95" t="s">
        <v>1073</v>
      </c>
      <c r="AW55" s="62" t="s">
        <v>1073</v>
      </c>
      <c r="AX55" s="95" t="s">
        <v>1073</v>
      </c>
      <c r="AY55" s="62" t="s">
        <v>1073</v>
      </c>
      <c r="AZ55" s="95" t="s">
        <v>1073</v>
      </c>
      <c r="BA55" s="95" t="s">
        <v>1073</v>
      </c>
      <c r="BB55" s="62" t="s">
        <v>1073</v>
      </c>
      <c r="BC55" s="95" t="s">
        <v>1073</v>
      </c>
      <c r="BD55" s="62" t="s">
        <v>1073</v>
      </c>
      <c r="BE55" s="95" t="s">
        <v>1073</v>
      </c>
      <c r="BF55" s="248">
        <v>23</v>
      </c>
      <c r="BG55" s="15"/>
      <c r="BH55" s="15"/>
      <c r="BI55" s="15"/>
      <c r="BJ55" s="15"/>
    </row>
    <row r="56" spans="1:62" ht="12.75">
      <c r="A56" s="247">
        <v>54</v>
      </c>
      <c r="B56" s="30"/>
      <c r="C56" s="32"/>
      <c r="D56" s="86" t="s">
        <v>1073</v>
      </c>
      <c r="E56" s="86" t="s">
        <v>1073</v>
      </c>
      <c r="F56" s="86" t="s">
        <v>1073</v>
      </c>
      <c r="G56" s="86" t="s">
        <v>1073</v>
      </c>
      <c r="H56" s="86" t="s">
        <v>1073</v>
      </c>
      <c r="I56" s="86" t="s">
        <v>1073</v>
      </c>
      <c r="J56" s="86" t="s">
        <v>1073</v>
      </c>
      <c r="K56" s="86" t="s">
        <v>1073</v>
      </c>
      <c r="L56" s="62" t="s">
        <v>113</v>
      </c>
      <c r="M56" s="62" t="s">
        <v>263</v>
      </c>
      <c r="N56" s="62" t="s">
        <v>283</v>
      </c>
      <c r="O56" s="62" t="s">
        <v>263</v>
      </c>
      <c r="P56" s="62" t="s">
        <v>263</v>
      </c>
      <c r="Q56" s="62" t="s">
        <v>1073</v>
      </c>
      <c r="R56" s="62" t="s">
        <v>1073</v>
      </c>
      <c r="S56" s="62" t="s">
        <v>1073</v>
      </c>
      <c r="T56" s="62" t="s">
        <v>1073</v>
      </c>
      <c r="U56" s="62" t="s">
        <v>1073</v>
      </c>
      <c r="V56" s="62" t="s">
        <v>1073</v>
      </c>
      <c r="W56" s="62" t="s">
        <v>1073</v>
      </c>
      <c r="X56" s="62" t="s">
        <v>1073</v>
      </c>
      <c r="Y56" s="62" t="s">
        <v>1073</v>
      </c>
      <c r="Z56" s="62" t="s">
        <v>1073</v>
      </c>
      <c r="AA56" s="62" t="s">
        <v>1073</v>
      </c>
      <c r="AB56" s="62" t="s">
        <v>1073</v>
      </c>
      <c r="AC56" s="62" t="s">
        <v>1073</v>
      </c>
      <c r="AD56" s="62" t="s">
        <v>1073</v>
      </c>
      <c r="AE56" s="62" t="s">
        <v>1073</v>
      </c>
      <c r="AF56" s="62" t="s">
        <v>1073</v>
      </c>
      <c r="AG56" s="62" t="s">
        <v>1073</v>
      </c>
      <c r="AH56" s="62" t="s">
        <v>1073</v>
      </c>
      <c r="AI56" s="62" t="s">
        <v>1073</v>
      </c>
      <c r="AJ56" s="62" t="s">
        <v>1073</v>
      </c>
      <c r="AK56" s="62" t="s">
        <v>1073</v>
      </c>
      <c r="AL56" s="62" t="s">
        <v>1073</v>
      </c>
      <c r="AM56" s="62" t="s">
        <v>1073</v>
      </c>
      <c r="AN56" s="62" t="s">
        <v>1073</v>
      </c>
      <c r="AO56" s="62" t="s">
        <v>1073</v>
      </c>
      <c r="AP56" s="62" t="s">
        <v>1073</v>
      </c>
      <c r="AQ56" s="62" t="s">
        <v>1073</v>
      </c>
      <c r="AR56" s="62" t="s">
        <v>1073</v>
      </c>
      <c r="AS56" s="62" t="s">
        <v>1073</v>
      </c>
      <c r="AT56" s="62" t="s">
        <v>1073</v>
      </c>
      <c r="AU56" s="62" t="s">
        <v>1073</v>
      </c>
      <c r="AV56" s="95" t="s">
        <v>1073</v>
      </c>
      <c r="AW56" s="62" t="s">
        <v>1073</v>
      </c>
      <c r="AX56" s="95" t="s">
        <v>1073</v>
      </c>
      <c r="AY56" s="62" t="s">
        <v>1073</v>
      </c>
      <c r="AZ56" s="95" t="s">
        <v>1073</v>
      </c>
      <c r="BA56" s="95" t="s">
        <v>1073</v>
      </c>
      <c r="BB56" s="62" t="s">
        <v>1073</v>
      </c>
      <c r="BC56" s="95" t="s">
        <v>1073</v>
      </c>
      <c r="BD56" s="62" t="s">
        <v>1073</v>
      </c>
      <c r="BE56" s="95" t="s">
        <v>1073</v>
      </c>
      <c r="BF56" s="248">
        <v>24</v>
      </c>
      <c r="BG56" s="15"/>
      <c r="BH56" s="15"/>
      <c r="BI56" s="15"/>
      <c r="BJ56" s="15"/>
    </row>
    <row r="57" spans="1:62" ht="12.75">
      <c r="A57" s="247">
        <v>55</v>
      </c>
      <c r="B57" s="30"/>
      <c r="C57" s="32"/>
      <c r="D57" s="86" t="s">
        <v>1073</v>
      </c>
      <c r="E57" s="86" t="s">
        <v>1073</v>
      </c>
      <c r="F57" s="86" t="s">
        <v>1073</v>
      </c>
      <c r="G57" s="86" t="s">
        <v>1073</v>
      </c>
      <c r="H57" s="86" t="s">
        <v>1073</v>
      </c>
      <c r="I57" s="86" t="s">
        <v>1073</v>
      </c>
      <c r="J57" s="86" t="s">
        <v>1073</v>
      </c>
      <c r="K57" s="86" t="s">
        <v>1073</v>
      </c>
      <c r="L57" s="62" t="s">
        <v>211</v>
      </c>
      <c r="M57" s="62" t="s">
        <v>113</v>
      </c>
      <c r="N57" s="62" t="s">
        <v>283</v>
      </c>
      <c r="O57" s="62" t="s">
        <v>113</v>
      </c>
      <c r="P57" s="62" t="s">
        <v>290</v>
      </c>
      <c r="Q57" s="62" t="s">
        <v>1073</v>
      </c>
      <c r="R57" s="62" t="s">
        <v>1073</v>
      </c>
      <c r="S57" s="62" t="s">
        <v>1073</v>
      </c>
      <c r="T57" s="62" t="s">
        <v>1073</v>
      </c>
      <c r="U57" s="62" t="s">
        <v>1073</v>
      </c>
      <c r="V57" s="62" t="s">
        <v>1073</v>
      </c>
      <c r="W57" s="62" t="s">
        <v>1073</v>
      </c>
      <c r="X57" s="62" t="s">
        <v>1073</v>
      </c>
      <c r="Y57" s="62" t="s">
        <v>1073</v>
      </c>
      <c r="Z57" s="62" t="s">
        <v>1073</v>
      </c>
      <c r="AA57" s="62" t="s">
        <v>1073</v>
      </c>
      <c r="AB57" s="62" t="s">
        <v>1073</v>
      </c>
      <c r="AC57" s="62" t="s">
        <v>1073</v>
      </c>
      <c r="AD57" s="62" t="s">
        <v>1073</v>
      </c>
      <c r="AE57" s="62" t="s">
        <v>1073</v>
      </c>
      <c r="AF57" s="62" t="s">
        <v>1073</v>
      </c>
      <c r="AG57" s="62" t="s">
        <v>1073</v>
      </c>
      <c r="AH57" s="62" t="s">
        <v>1073</v>
      </c>
      <c r="AI57" s="62" t="s">
        <v>1073</v>
      </c>
      <c r="AJ57" s="62" t="s">
        <v>1073</v>
      </c>
      <c r="AK57" s="62" t="s">
        <v>1073</v>
      </c>
      <c r="AL57" s="62" t="s">
        <v>1073</v>
      </c>
      <c r="AM57" s="62" t="s">
        <v>1073</v>
      </c>
      <c r="AN57" s="62" t="s">
        <v>1073</v>
      </c>
      <c r="AO57" s="62" t="s">
        <v>1073</v>
      </c>
      <c r="AP57" s="62" t="s">
        <v>1073</v>
      </c>
      <c r="AQ57" s="62" t="s">
        <v>1073</v>
      </c>
      <c r="AR57" s="62" t="s">
        <v>1073</v>
      </c>
      <c r="AS57" s="62" t="s">
        <v>1073</v>
      </c>
      <c r="AT57" s="62" t="s">
        <v>1073</v>
      </c>
      <c r="AU57" s="62" t="s">
        <v>1073</v>
      </c>
      <c r="AV57" s="95" t="s">
        <v>1073</v>
      </c>
      <c r="AW57" s="62" t="s">
        <v>1073</v>
      </c>
      <c r="AX57" s="95" t="s">
        <v>1073</v>
      </c>
      <c r="AY57" s="62" t="s">
        <v>1073</v>
      </c>
      <c r="AZ57" s="95" t="s">
        <v>1073</v>
      </c>
      <c r="BA57" s="95" t="s">
        <v>1073</v>
      </c>
      <c r="BB57" s="62" t="s">
        <v>1073</v>
      </c>
      <c r="BC57" s="95" t="s">
        <v>1073</v>
      </c>
      <c r="BD57" s="62" t="s">
        <v>1073</v>
      </c>
      <c r="BE57" s="95" t="s">
        <v>1073</v>
      </c>
      <c r="BF57" s="248">
        <v>25</v>
      </c>
      <c r="BG57" s="15"/>
      <c r="BH57" s="15"/>
      <c r="BI57" s="15"/>
      <c r="BJ57" s="15"/>
    </row>
    <row r="58" spans="1:62" ht="12.75">
      <c r="A58" s="247">
        <v>56</v>
      </c>
      <c r="B58" s="30"/>
      <c r="C58" s="32"/>
      <c r="D58" s="86" t="s">
        <v>1073</v>
      </c>
      <c r="E58" s="86" t="s">
        <v>1073</v>
      </c>
      <c r="F58" s="86" t="s">
        <v>1073</v>
      </c>
      <c r="G58" s="86" t="s">
        <v>1073</v>
      </c>
      <c r="H58" s="86" t="s">
        <v>1073</v>
      </c>
      <c r="I58" s="86" t="s">
        <v>1073</v>
      </c>
      <c r="J58" s="86" t="s">
        <v>1073</v>
      </c>
      <c r="K58" s="86" t="s">
        <v>1073</v>
      </c>
      <c r="L58" s="62" t="s">
        <v>113</v>
      </c>
      <c r="M58" s="62" t="s">
        <v>113</v>
      </c>
      <c r="N58" s="62" t="s">
        <v>113</v>
      </c>
      <c r="O58" s="62" t="s">
        <v>113</v>
      </c>
      <c r="P58" s="62" t="s">
        <v>290</v>
      </c>
      <c r="Q58" s="62" t="s">
        <v>1073</v>
      </c>
      <c r="R58" s="62" t="s">
        <v>1073</v>
      </c>
      <c r="S58" s="62" t="s">
        <v>1073</v>
      </c>
      <c r="T58" s="62" t="s">
        <v>1073</v>
      </c>
      <c r="U58" s="62" t="s">
        <v>1073</v>
      </c>
      <c r="V58" s="62" t="s">
        <v>1073</v>
      </c>
      <c r="W58" s="62" t="s">
        <v>1073</v>
      </c>
      <c r="X58" s="62" t="s">
        <v>1073</v>
      </c>
      <c r="Y58" s="62" t="s">
        <v>1073</v>
      </c>
      <c r="Z58" s="62" t="s">
        <v>1073</v>
      </c>
      <c r="AA58" s="62" t="s">
        <v>1073</v>
      </c>
      <c r="AB58" s="62" t="s">
        <v>1073</v>
      </c>
      <c r="AC58" s="62" t="s">
        <v>1073</v>
      </c>
      <c r="AD58" s="62" t="s">
        <v>1073</v>
      </c>
      <c r="AE58" s="62" t="s">
        <v>1073</v>
      </c>
      <c r="AF58" s="62" t="s">
        <v>1073</v>
      </c>
      <c r="AG58" s="62" t="s">
        <v>1073</v>
      </c>
      <c r="AH58" s="62" t="s">
        <v>1073</v>
      </c>
      <c r="AI58" s="62" t="s">
        <v>1073</v>
      </c>
      <c r="AJ58" s="62" t="s">
        <v>1073</v>
      </c>
      <c r="AK58" s="62" t="s">
        <v>1073</v>
      </c>
      <c r="AL58" s="62" t="s">
        <v>1073</v>
      </c>
      <c r="AM58" s="62" t="s">
        <v>1073</v>
      </c>
      <c r="AN58" s="62" t="s">
        <v>1073</v>
      </c>
      <c r="AO58" s="62" t="s">
        <v>1073</v>
      </c>
      <c r="AP58" s="62" t="s">
        <v>1073</v>
      </c>
      <c r="AQ58" s="62" t="s">
        <v>1073</v>
      </c>
      <c r="AR58" s="62" t="s">
        <v>1073</v>
      </c>
      <c r="AS58" s="62" t="s">
        <v>1073</v>
      </c>
      <c r="AT58" s="62" t="s">
        <v>1073</v>
      </c>
      <c r="AU58" s="62" t="s">
        <v>1073</v>
      </c>
      <c r="AV58" s="95" t="s">
        <v>1073</v>
      </c>
      <c r="AW58" s="62" t="s">
        <v>1073</v>
      </c>
      <c r="AX58" s="95" t="s">
        <v>1073</v>
      </c>
      <c r="AY58" s="62" t="s">
        <v>1073</v>
      </c>
      <c r="AZ58" s="95" t="s">
        <v>1073</v>
      </c>
      <c r="BA58" s="95" t="s">
        <v>1073</v>
      </c>
      <c r="BB58" s="62" t="s">
        <v>1073</v>
      </c>
      <c r="BC58" s="95" t="s">
        <v>1073</v>
      </c>
      <c r="BD58" s="62" t="s">
        <v>1073</v>
      </c>
      <c r="BE58" s="95" t="s">
        <v>1073</v>
      </c>
      <c r="BF58" s="248">
        <v>26</v>
      </c>
      <c r="BG58" s="15"/>
      <c r="BH58" s="15"/>
      <c r="BI58" s="15"/>
      <c r="BJ58" s="15"/>
    </row>
    <row r="59" spans="1:62" ht="12.75">
      <c r="A59" s="247">
        <v>57</v>
      </c>
      <c r="B59" s="15"/>
      <c r="C59" s="32"/>
      <c r="D59" s="86" t="s">
        <v>1073</v>
      </c>
      <c r="E59" s="86" t="s">
        <v>1073</v>
      </c>
      <c r="F59" s="86" t="s">
        <v>1073</v>
      </c>
      <c r="G59" s="86" t="s">
        <v>1073</v>
      </c>
      <c r="H59" s="86" t="s">
        <v>1073</v>
      </c>
      <c r="I59" s="86" t="s">
        <v>1073</v>
      </c>
      <c r="J59" s="86" t="s">
        <v>1073</v>
      </c>
      <c r="K59" s="86" t="s">
        <v>1073</v>
      </c>
      <c r="L59" s="62" t="s">
        <v>215</v>
      </c>
      <c r="M59" s="62" t="s">
        <v>265</v>
      </c>
      <c r="N59" s="62" t="s">
        <v>113</v>
      </c>
      <c r="O59" s="62" t="s">
        <v>265</v>
      </c>
      <c r="P59" s="62" t="s">
        <v>265</v>
      </c>
      <c r="Q59" s="62" t="s">
        <v>1073</v>
      </c>
      <c r="R59" s="62" t="s">
        <v>1073</v>
      </c>
      <c r="S59" s="62" t="s">
        <v>1073</v>
      </c>
      <c r="T59" s="62" t="s">
        <v>1073</v>
      </c>
      <c r="U59" s="62" t="s">
        <v>1073</v>
      </c>
      <c r="V59" s="62" t="s">
        <v>1073</v>
      </c>
      <c r="W59" s="62" t="s">
        <v>1073</v>
      </c>
      <c r="X59" s="62" t="s">
        <v>1073</v>
      </c>
      <c r="Y59" s="62" t="s">
        <v>1073</v>
      </c>
      <c r="Z59" s="62" t="s">
        <v>1073</v>
      </c>
      <c r="AA59" s="62" t="s">
        <v>1073</v>
      </c>
      <c r="AB59" s="62" t="s">
        <v>1073</v>
      </c>
      <c r="AC59" s="62" t="s">
        <v>1073</v>
      </c>
      <c r="AD59" s="62" t="s">
        <v>1073</v>
      </c>
      <c r="AE59" s="62" t="s">
        <v>1073</v>
      </c>
      <c r="AF59" s="62" t="s">
        <v>1073</v>
      </c>
      <c r="AG59" s="62" t="s">
        <v>1073</v>
      </c>
      <c r="AH59" s="62" t="s">
        <v>1073</v>
      </c>
      <c r="AI59" s="62" t="s">
        <v>1073</v>
      </c>
      <c r="AJ59" s="62" t="s">
        <v>1073</v>
      </c>
      <c r="AK59" s="62" t="s">
        <v>1073</v>
      </c>
      <c r="AL59" s="62" t="s">
        <v>1073</v>
      </c>
      <c r="AM59" s="62" t="s">
        <v>1073</v>
      </c>
      <c r="AN59" s="62" t="s">
        <v>1073</v>
      </c>
      <c r="AO59" s="62" t="s">
        <v>1073</v>
      </c>
      <c r="AP59" s="62" t="s">
        <v>1073</v>
      </c>
      <c r="AQ59" s="62" t="s">
        <v>1073</v>
      </c>
      <c r="AR59" s="62" t="s">
        <v>1073</v>
      </c>
      <c r="AS59" s="62" t="s">
        <v>1073</v>
      </c>
      <c r="AT59" s="62" t="s">
        <v>1073</v>
      </c>
      <c r="AU59" s="62" t="s">
        <v>1073</v>
      </c>
      <c r="AV59" s="95" t="s">
        <v>1073</v>
      </c>
      <c r="AW59" s="62" t="s">
        <v>1073</v>
      </c>
      <c r="AX59" s="95" t="s">
        <v>1073</v>
      </c>
      <c r="AY59" s="62" t="s">
        <v>1073</v>
      </c>
      <c r="AZ59" s="95" t="s">
        <v>1073</v>
      </c>
      <c r="BA59" s="95" t="s">
        <v>1073</v>
      </c>
      <c r="BB59" s="62" t="s">
        <v>1073</v>
      </c>
      <c r="BC59" s="95" t="s">
        <v>1073</v>
      </c>
      <c r="BD59" s="62" t="s">
        <v>1073</v>
      </c>
      <c r="BE59" s="95" t="s">
        <v>1073</v>
      </c>
      <c r="BF59" s="248">
        <v>27</v>
      </c>
      <c r="BG59" s="15"/>
      <c r="BH59" s="15"/>
      <c r="BI59" s="15"/>
      <c r="BJ59" s="15"/>
    </row>
    <row r="60" spans="1:60" ht="12.75">
      <c r="A60" s="247">
        <v>58</v>
      </c>
      <c r="B60" s="15"/>
      <c r="C60" s="32"/>
      <c r="D60" s="86" t="s">
        <v>1073</v>
      </c>
      <c r="E60" s="86" t="s">
        <v>1073</v>
      </c>
      <c r="F60" s="86" t="s">
        <v>1073</v>
      </c>
      <c r="G60" s="86" t="s">
        <v>1073</v>
      </c>
      <c r="H60" s="86" t="s">
        <v>1073</v>
      </c>
      <c r="I60" s="86" t="s">
        <v>1073</v>
      </c>
      <c r="J60" s="86" t="s">
        <v>1073</v>
      </c>
      <c r="K60" s="86" t="s">
        <v>1073</v>
      </c>
      <c r="L60" s="62" t="s">
        <v>113</v>
      </c>
      <c r="M60" s="62" t="s">
        <v>265</v>
      </c>
      <c r="N60" s="62" t="s">
        <v>113</v>
      </c>
      <c r="O60" s="62" t="s">
        <v>265</v>
      </c>
      <c r="P60" s="62" t="s">
        <v>265</v>
      </c>
      <c r="Q60" s="62" t="s">
        <v>1073</v>
      </c>
      <c r="R60" s="62" t="s">
        <v>1073</v>
      </c>
      <c r="S60" s="62" t="s">
        <v>1073</v>
      </c>
      <c r="T60" s="62" t="s">
        <v>1073</v>
      </c>
      <c r="U60" s="62" t="s">
        <v>1073</v>
      </c>
      <c r="V60" s="62" t="s">
        <v>1073</v>
      </c>
      <c r="W60" s="62" t="s">
        <v>1073</v>
      </c>
      <c r="X60" s="62" t="s">
        <v>1073</v>
      </c>
      <c r="Y60" s="62" t="s">
        <v>1073</v>
      </c>
      <c r="Z60" s="62" t="s">
        <v>1073</v>
      </c>
      <c r="AA60" s="62" t="s">
        <v>1073</v>
      </c>
      <c r="AB60" s="62" t="s">
        <v>1073</v>
      </c>
      <c r="AC60" s="62" t="s">
        <v>1073</v>
      </c>
      <c r="AD60" s="62" t="s">
        <v>1073</v>
      </c>
      <c r="AE60" s="62" t="s">
        <v>1073</v>
      </c>
      <c r="AF60" s="62" t="s">
        <v>1073</v>
      </c>
      <c r="AG60" s="62" t="s">
        <v>1073</v>
      </c>
      <c r="AH60" s="62" t="s">
        <v>1073</v>
      </c>
      <c r="AI60" s="62" t="s">
        <v>1073</v>
      </c>
      <c r="AJ60" s="62" t="s">
        <v>1073</v>
      </c>
      <c r="AK60" s="62" t="s">
        <v>1073</v>
      </c>
      <c r="AL60" s="62" t="s">
        <v>1073</v>
      </c>
      <c r="AM60" s="62" t="s">
        <v>1073</v>
      </c>
      <c r="AN60" s="62" t="s">
        <v>1073</v>
      </c>
      <c r="AO60" s="62" t="s">
        <v>1073</v>
      </c>
      <c r="AP60" s="62" t="s">
        <v>1073</v>
      </c>
      <c r="AQ60" s="62" t="s">
        <v>1073</v>
      </c>
      <c r="AR60" s="62" t="s">
        <v>1073</v>
      </c>
      <c r="AS60" s="62" t="s">
        <v>1073</v>
      </c>
      <c r="AT60" s="62" t="s">
        <v>1073</v>
      </c>
      <c r="AU60" s="62" t="s">
        <v>1073</v>
      </c>
      <c r="AV60" s="95" t="s">
        <v>1073</v>
      </c>
      <c r="AW60" s="62" t="s">
        <v>1073</v>
      </c>
      <c r="AX60" s="95" t="s">
        <v>1073</v>
      </c>
      <c r="AY60" s="62" t="s">
        <v>1073</v>
      </c>
      <c r="AZ60" s="95" t="s">
        <v>1073</v>
      </c>
      <c r="BA60" s="95" t="s">
        <v>1073</v>
      </c>
      <c r="BB60" s="62" t="s">
        <v>1073</v>
      </c>
      <c r="BC60" s="95" t="s">
        <v>1073</v>
      </c>
      <c r="BD60" s="62" t="s">
        <v>1073</v>
      </c>
      <c r="BE60" s="95" t="s">
        <v>1073</v>
      </c>
      <c r="BF60" s="248">
        <v>28</v>
      </c>
      <c r="BG60" s="15"/>
      <c r="BH60" s="15"/>
    </row>
    <row r="61" spans="1:60" ht="12.75">
      <c r="A61" s="247">
        <v>59</v>
      </c>
      <c r="B61" s="15"/>
      <c r="C61" s="32"/>
      <c r="D61" s="86" t="s">
        <v>1073</v>
      </c>
      <c r="E61" s="86" t="s">
        <v>1073</v>
      </c>
      <c r="F61" s="86" t="s">
        <v>1073</v>
      </c>
      <c r="G61" s="86" t="s">
        <v>1073</v>
      </c>
      <c r="H61" s="86" t="s">
        <v>1073</v>
      </c>
      <c r="I61" s="86" t="s">
        <v>1073</v>
      </c>
      <c r="J61" s="86" t="s">
        <v>1073</v>
      </c>
      <c r="K61" s="86" t="s">
        <v>1073</v>
      </c>
      <c r="L61" s="62" t="s">
        <v>213</v>
      </c>
      <c r="M61" s="62" t="s">
        <v>113</v>
      </c>
      <c r="N61" s="62" t="s">
        <v>113</v>
      </c>
      <c r="O61" s="62" t="s">
        <v>113</v>
      </c>
      <c r="P61" s="62" t="s">
        <v>289</v>
      </c>
      <c r="Q61" s="62" t="s">
        <v>1073</v>
      </c>
      <c r="R61" s="62" t="s">
        <v>1073</v>
      </c>
      <c r="S61" s="62" t="s">
        <v>1073</v>
      </c>
      <c r="T61" s="62" t="s">
        <v>1073</v>
      </c>
      <c r="U61" s="62" t="s">
        <v>1073</v>
      </c>
      <c r="V61" s="62" t="s">
        <v>1073</v>
      </c>
      <c r="W61" s="62" t="s">
        <v>1073</v>
      </c>
      <c r="X61" s="62" t="s">
        <v>1073</v>
      </c>
      <c r="Y61" s="62" t="s">
        <v>1073</v>
      </c>
      <c r="Z61" s="62" t="s">
        <v>1073</v>
      </c>
      <c r="AA61" s="62" t="s">
        <v>1073</v>
      </c>
      <c r="AB61" s="62" t="s">
        <v>1073</v>
      </c>
      <c r="AC61" s="62" t="s">
        <v>1073</v>
      </c>
      <c r="AD61" s="62" t="s">
        <v>1073</v>
      </c>
      <c r="AE61" s="62" t="s">
        <v>1073</v>
      </c>
      <c r="AF61" s="62" t="s">
        <v>1073</v>
      </c>
      <c r="AG61" s="62" t="s">
        <v>1073</v>
      </c>
      <c r="AH61" s="62" t="s">
        <v>1073</v>
      </c>
      <c r="AI61" s="62" t="s">
        <v>1073</v>
      </c>
      <c r="AJ61" s="62" t="s">
        <v>1073</v>
      </c>
      <c r="AK61" s="62" t="s">
        <v>1073</v>
      </c>
      <c r="AL61" s="62" t="s">
        <v>1073</v>
      </c>
      <c r="AM61" s="62" t="s">
        <v>1073</v>
      </c>
      <c r="AN61" s="62" t="s">
        <v>1073</v>
      </c>
      <c r="AO61" s="62" t="s">
        <v>1073</v>
      </c>
      <c r="AP61" s="62" t="s">
        <v>1073</v>
      </c>
      <c r="AQ61" s="62" t="s">
        <v>1073</v>
      </c>
      <c r="AR61" s="62" t="s">
        <v>1073</v>
      </c>
      <c r="AS61" s="62" t="s">
        <v>1073</v>
      </c>
      <c r="AT61" s="62" t="s">
        <v>1073</v>
      </c>
      <c r="AU61" s="62" t="s">
        <v>1073</v>
      </c>
      <c r="AV61" s="95" t="s">
        <v>1073</v>
      </c>
      <c r="AW61" s="62" t="s">
        <v>1073</v>
      </c>
      <c r="AX61" s="95" t="s">
        <v>1073</v>
      </c>
      <c r="AY61" s="62" t="s">
        <v>1073</v>
      </c>
      <c r="AZ61" s="95" t="s">
        <v>1073</v>
      </c>
      <c r="BA61" s="95" t="s">
        <v>1073</v>
      </c>
      <c r="BB61" s="62" t="s">
        <v>1073</v>
      </c>
      <c r="BC61" s="95" t="s">
        <v>1073</v>
      </c>
      <c r="BD61" s="62" t="s">
        <v>1073</v>
      </c>
      <c r="BE61" s="95" t="s">
        <v>1073</v>
      </c>
      <c r="BF61" s="248">
        <v>29</v>
      </c>
      <c r="BG61" s="15"/>
      <c r="BH61" s="15"/>
    </row>
    <row r="62" spans="1:58" ht="12.75">
      <c r="A62" s="247">
        <v>60</v>
      </c>
      <c r="C62" s="177"/>
      <c r="D62" s="250" t="s">
        <v>1073</v>
      </c>
      <c r="E62" s="250" t="s">
        <v>1073</v>
      </c>
      <c r="F62" s="250" t="s">
        <v>1073</v>
      </c>
      <c r="G62" s="250" t="s">
        <v>1073</v>
      </c>
      <c r="H62" s="250" t="s">
        <v>1073</v>
      </c>
      <c r="I62" s="250" t="s">
        <v>1073</v>
      </c>
      <c r="J62" s="250" t="s">
        <v>1073</v>
      </c>
      <c r="K62" s="250" t="s">
        <v>1073</v>
      </c>
      <c r="L62" s="73" t="s">
        <v>113</v>
      </c>
      <c r="M62" s="73" t="s">
        <v>113</v>
      </c>
      <c r="N62" s="73" t="s">
        <v>113</v>
      </c>
      <c r="O62" s="73" t="s">
        <v>113</v>
      </c>
      <c r="P62" s="73" t="s">
        <v>289</v>
      </c>
      <c r="Q62" s="73" t="s">
        <v>1073</v>
      </c>
      <c r="R62" s="73" t="s">
        <v>1073</v>
      </c>
      <c r="S62" s="73" t="s">
        <v>1073</v>
      </c>
      <c r="T62" s="73" t="s">
        <v>1073</v>
      </c>
      <c r="U62" s="73" t="s">
        <v>1073</v>
      </c>
      <c r="V62" s="73" t="s">
        <v>1073</v>
      </c>
      <c r="W62" s="73" t="s">
        <v>1073</v>
      </c>
      <c r="X62" s="73" t="s">
        <v>1073</v>
      </c>
      <c r="Y62" s="73" t="s">
        <v>1073</v>
      </c>
      <c r="Z62" s="73" t="s">
        <v>1073</v>
      </c>
      <c r="AA62" s="73" t="s">
        <v>1073</v>
      </c>
      <c r="AB62" s="73" t="s">
        <v>1073</v>
      </c>
      <c r="AC62" s="73" t="s">
        <v>1073</v>
      </c>
      <c r="AD62" s="73" t="s">
        <v>1073</v>
      </c>
      <c r="AE62" s="73" t="s">
        <v>1073</v>
      </c>
      <c r="AF62" s="73" t="s">
        <v>1073</v>
      </c>
      <c r="AG62" s="73" t="s">
        <v>1073</v>
      </c>
      <c r="AH62" s="73" t="s">
        <v>1073</v>
      </c>
      <c r="AI62" s="73" t="s">
        <v>1073</v>
      </c>
      <c r="AJ62" s="73" t="s">
        <v>1073</v>
      </c>
      <c r="AK62" s="73" t="s">
        <v>1073</v>
      </c>
      <c r="AL62" s="73" t="s">
        <v>1073</v>
      </c>
      <c r="AM62" s="73" t="s">
        <v>1073</v>
      </c>
      <c r="AN62" s="73" t="s">
        <v>1073</v>
      </c>
      <c r="AO62" s="73" t="s">
        <v>1073</v>
      </c>
      <c r="AP62" s="73" t="s">
        <v>1073</v>
      </c>
      <c r="AQ62" s="73" t="s">
        <v>1073</v>
      </c>
      <c r="AR62" s="73" t="s">
        <v>1073</v>
      </c>
      <c r="AS62" s="73" t="s">
        <v>1073</v>
      </c>
      <c r="AT62" s="73" t="s">
        <v>1073</v>
      </c>
      <c r="AU62" s="73" t="s">
        <v>1073</v>
      </c>
      <c r="AV62" s="275" t="s">
        <v>1073</v>
      </c>
      <c r="AW62" s="73" t="s">
        <v>1073</v>
      </c>
      <c r="AX62" s="275" t="s">
        <v>1073</v>
      </c>
      <c r="AY62" s="73" t="s">
        <v>1073</v>
      </c>
      <c r="AZ62" s="275" t="s">
        <v>1073</v>
      </c>
      <c r="BA62" s="275" t="s">
        <v>1073</v>
      </c>
      <c r="BB62" s="73" t="s">
        <v>1073</v>
      </c>
      <c r="BC62" s="275" t="s">
        <v>1073</v>
      </c>
      <c r="BD62" s="73" t="s">
        <v>1073</v>
      </c>
      <c r="BE62" s="275" t="s">
        <v>1073</v>
      </c>
      <c r="BF62" s="248">
        <v>30</v>
      </c>
    </row>
    <row r="63" spans="1:16" ht="12.75">
      <c r="A63" s="179"/>
      <c r="C63" s="177"/>
      <c r="H63" s="1"/>
      <c r="P63" s="1"/>
    </row>
    <row r="64" spans="1:62" ht="12.75">
      <c r="A64" s="189"/>
      <c r="B64" s="189"/>
      <c r="C64" s="180"/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 s="90">
        <v>2</v>
      </c>
      <c r="N64" s="90">
        <v>2</v>
      </c>
      <c r="O64" s="90">
        <v>2</v>
      </c>
      <c r="P64" s="90">
        <v>2</v>
      </c>
      <c r="Q64" s="90">
        <v>2</v>
      </c>
      <c r="R64" s="90">
        <v>2</v>
      </c>
      <c r="S64" s="90">
        <v>2</v>
      </c>
      <c r="T64" s="90">
        <v>2</v>
      </c>
      <c r="U64" s="90">
        <v>2</v>
      </c>
      <c r="V64" s="90">
        <v>2</v>
      </c>
      <c r="W64" s="90">
        <v>2</v>
      </c>
      <c r="X64" s="90">
        <v>2</v>
      </c>
      <c r="Y64" s="90">
        <v>2</v>
      </c>
      <c r="Z64" s="90">
        <v>2</v>
      </c>
      <c r="AA64" s="90">
        <v>2</v>
      </c>
      <c r="AB64" s="90">
        <v>2</v>
      </c>
      <c r="AC64" s="90">
        <v>2</v>
      </c>
      <c r="AD64" s="90">
        <v>2</v>
      </c>
      <c r="AE64" s="90">
        <v>2</v>
      </c>
      <c r="AF64" s="90">
        <v>2</v>
      </c>
      <c r="AG64" s="90">
        <v>2</v>
      </c>
      <c r="AH64" s="90">
        <v>2</v>
      </c>
      <c r="AI64" s="90">
        <v>2</v>
      </c>
      <c r="AJ64" s="90">
        <v>2</v>
      </c>
      <c r="AK64" s="90">
        <v>2</v>
      </c>
      <c r="AL64" s="90">
        <v>2</v>
      </c>
      <c r="AM64" s="90">
        <v>2</v>
      </c>
      <c r="AN64" s="90">
        <v>2</v>
      </c>
      <c r="AO64" s="90">
        <v>2</v>
      </c>
      <c r="AP64" s="90">
        <v>2</v>
      </c>
      <c r="AQ64" s="90">
        <v>2</v>
      </c>
      <c r="AR64" s="90">
        <v>2</v>
      </c>
      <c r="AS64" s="90">
        <v>2</v>
      </c>
      <c r="AT64" s="90">
        <v>2</v>
      </c>
      <c r="AU64" s="90">
        <v>2</v>
      </c>
      <c r="AV64" s="90">
        <v>2</v>
      </c>
      <c r="AW64" s="90">
        <v>2</v>
      </c>
      <c r="AX64" s="90">
        <v>2</v>
      </c>
      <c r="AY64" s="90">
        <v>2</v>
      </c>
      <c r="AZ64" s="90">
        <v>2</v>
      </c>
      <c r="BA64" s="90">
        <v>2</v>
      </c>
      <c r="BB64" s="90">
        <v>2</v>
      </c>
      <c r="BC64" s="90">
        <v>2</v>
      </c>
      <c r="BD64" s="90">
        <v>2</v>
      </c>
      <c r="BE64" s="90">
        <v>2</v>
      </c>
      <c r="BI64" s="15"/>
      <c r="BJ64" s="15"/>
    </row>
    <row r="65" spans="3:8" ht="12.75">
      <c r="C65" s="177"/>
      <c r="H65" s="1"/>
    </row>
    <row r="66" spans="3:8" ht="12.75">
      <c r="C66" s="177"/>
      <c r="H66" s="1"/>
    </row>
  </sheetData>
  <sheetProtection password="DF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P&amp;C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Wright</dc:creator>
  <cp:keywords/>
  <dc:description/>
  <cp:lastModifiedBy>K</cp:lastModifiedBy>
  <cp:lastPrinted>2013-10-17T08:35:17Z</cp:lastPrinted>
  <dcterms:created xsi:type="dcterms:W3CDTF">2001-03-13T08:35:30Z</dcterms:created>
  <dcterms:modified xsi:type="dcterms:W3CDTF">2018-03-01T05:41:46Z</dcterms:modified>
  <cp:category/>
  <cp:version/>
  <cp:contentType/>
  <cp:contentStatus/>
</cp:coreProperties>
</file>