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45" windowHeight="9285" activeTab="0"/>
  </bookViews>
  <sheets>
    <sheet name="Cortec" sheetId="1" r:id="rId1"/>
    <sheet name="Configurator" sheetId="2" r:id="rId2"/>
    <sheet name="Master Text" sheetId="3" r:id="rId3"/>
    <sheet name="Tendering" sheetId="4" r:id="rId4"/>
    <sheet name="Database" sheetId="5" state="hidden" r:id="rId5"/>
    <sheet name="Date Drivers" sheetId="6" state="hidden" r:id="rId6"/>
  </sheets>
  <externalReferences>
    <externalReference r:id="rId9"/>
  </externalReferences>
  <definedNames>
    <definedName name="Contacts">#REF!</definedName>
    <definedName name="Input_Area">#REF!,#REF!,#REF!,#REF!</definedName>
    <definedName name="Input_Area1">#REF!,#REF!,#REF!,#REF!,#REF!,#REF!,#REF!,#REF!</definedName>
    <definedName name="Input_Area2">#REF!,#REF!,#REF!,#REF!</definedName>
    <definedName name="Nomenclature">#REF!:#REF!</definedName>
    <definedName name="_xlnm.Print_Area" localSheetId="0">'Cortec'!$A$1:$M$77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<sst xmlns="http://schemas.openxmlformats.org/spreadsheetml/2006/main" count="616" uniqueCount="200">
  <si>
    <t>A</t>
  </si>
  <si>
    <t>Vx Aux Rating</t>
  </si>
  <si>
    <t>110 - 250 Vdc (100 - 240 Vac)</t>
  </si>
  <si>
    <t>In/Vn Rating</t>
  </si>
  <si>
    <t>Hardware Options</t>
  </si>
  <si>
    <t>Product Specific</t>
  </si>
  <si>
    <t>Protocol Options</t>
  </si>
  <si>
    <t>Mounting</t>
  </si>
  <si>
    <t>Language</t>
  </si>
  <si>
    <t>Design Suffix</t>
  </si>
  <si>
    <t>1-4</t>
  </si>
  <si>
    <t>Format = dd/mm/yy (where d=day, m=month, y=year)</t>
  </si>
  <si>
    <t>Key Date</t>
  </si>
  <si>
    <t xml:space="preserve"> </t>
  </si>
  <si>
    <t>Software Version</t>
  </si>
  <si>
    <t>Setting Files</t>
  </si>
  <si>
    <t>Default</t>
  </si>
  <si>
    <t>1</t>
  </si>
  <si>
    <t>**</t>
  </si>
  <si>
    <r>
      <t xml:space="preserve">To enable only current variants to be offered, please specify </t>
    </r>
    <r>
      <rPr>
        <b/>
        <sz val="11"/>
        <color indexed="10"/>
        <rFont val="Arial"/>
        <family val="2"/>
      </rPr>
      <t>ACTUAL</t>
    </r>
    <r>
      <rPr>
        <b/>
        <sz val="11"/>
        <rFont val="Arial"/>
        <family val="2"/>
      </rPr>
      <t xml:space="preserve"> or </t>
    </r>
    <r>
      <rPr>
        <b/>
        <sz val="11"/>
        <color indexed="10"/>
        <rFont val="Arial"/>
        <family val="2"/>
      </rPr>
      <t>REQUIRED</t>
    </r>
    <r>
      <rPr>
        <b/>
        <sz val="11"/>
        <rFont val="Arial"/>
        <family val="2"/>
      </rPr>
      <t xml:space="preserve"> delivery date here</t>
    </r>
  </si>
  <si>
    <t>M</t>
  </si>
  <si>
    <t>12-13</t>
  </si>
  <si>
    <t>Vx Aux Rating :</t>
  </si>
  <si>
    <t>Hardware Options :</t>
  </si>
  <si>
    <t>Protocol Options :</t>
  </si>
  <si>
    <t>Product Specific Options :</t>
  </si>
  <si>
    <t>Language Options :</t>
  </si>
  <si>
    <t>Settings Files Options :</t>
  </si>
  <si>
    <t>Software Version Options :</t>
  </si>
  <si>
    <t>IRIG-B only (modulated)</t>
  </si>
  <si>
    <t>Fibre optic converter only</t>
  </si>
  <si>
    <t>C</t>
  </si>
  <si>
    <t>IRIG-B (modulated) &amp; fibre optic converter</t>
  </si>
  <si>
    <t>B</t>
  </si>
  <si>
    <t>D</t>
  </si>
  <si>
    <t>K-Bus/Courier</t>
  </si>
  <si>
    <t>Modbus</t>
  </si>
  <si>
    <t>IEC60870-5-103</t>
  </si>
  <si>
    <t>DNP3.0</t>
  </si>
  <si>
    <t>Panel Mounting</t>
  </si>
  <si>
    <t>In/Vn Rating :</t>
  </si>
  <si>
    <t>P643</t>
  </si>
  <si>
    <t>HV-LV In = 1A/5A, Vn = (100/120V) (12CT/4VT)</t>
  </si>
  <si>
    <t>Size 12 (60TE) case, 16 optos + 16 relays</t>
  </si>
  <si>
    <t>Size 12 (60TE) case, 16 optos + 16relays + CLIO (mA I/O)</t>
  </si>
  <si>
    <t>Size 12 (60TE) case, 16 optos + 16 relays + RTD</t>
  </si>
  <si>
    <t>Size 12 (60TE) case, 24 optos + 16 relays</t>
  </si>
  <si>
    <t>Size 12 (60TE) case, 16 optos + 24 relays</t>
  </si>
  <si>
    <t>E</t>
  </si>
  <si>
    <t>K</t>
  </si>
  <si>
    <t>10P64301</t>
  </si>
  <si>
    <t>10P64302</t>
  </si>
  <si>
    <t>10P64303</t>
  </si>
  <si>
    <t>10P64304</t>
  </si>
  <si>
    <t>10P64305</t>
  </si>
  <si>
    <t>Customer Settings</t>
  </si>
  <si>
    <t>01</t>
  </si>
  <si>
    <t>English, French, German, Spanish</t>
  </si>
  <si>
    <t>English, French, German, Russian</t>
  </si>
  <si>
    <t>Chinese, English or French via HMI, with English or French only via Communications port</t>
  </si>
  <si>
    <t>IEC61850-9-2 (not available)</t>
  </si>
  <si>
    <t>IEC 61850 over Ethernet and Courier via rear K-Bus/RS485</t>
  </si>
  <si>
    <t>Extended Phase 2 CPU</t>
  </si>
  <si>
    <t>Design Suffix:</t>
  </si>
  <si>
    <t>HV-LV In = 1A/5A, Vn = (100/120V) (12CT/1VT)</t>
  </si>
  <si>
    <t>2</t>
  </si>
  <si>
    <t>48 - 110 Vdc (40 - 100 Vac)</t>
  </si>
  <si>
    <t>F</t>
  </si>
  <si>
    <t>Size 12 (60TE) case, 16 optos + 20 relays (including 4 High Break)</t>
  </si>
  <si>
    <t/>
  </si>
  <si>
    <t>10P64306</t>
  </si>
  <si>
    <t>02</t>
  </si>
  <si>
    <t>Ethernet with 100Mits/s fibre-optic port</t>
  </si>
  <si>
    <t>Second Rear Comms Port (Courier EIA232/EIA485/kbus)</t>
  </si>
  <si>
    <t>Second Rear Comms Port + IRIG-B (modulated) (Courier EIA232/EIA485/kbus)</t>
  </si>
  <si>
    <t>IRIG-B (de-modulated)</t>
  </si>
  <si>
    <t>Ethernet (100Mbit/s) + IRIG-B (modulated)</t>
  </si>
  <si>
    <t>Ethernet (100Mbit/s) + IRIG-B (de-modulated)</t>
  </si>
  <si>
    <t>Standard - no options</t>
  </si>
  <si>
    <t xml:space="preserve">Panel Mounting, with harsh environment coating </t>
  </si>
  <si>
    <t>P</t>
  </si>
  <si>
    <t>P643 (Transformer Protection) Nomenclature</t>
  </si>
  <si>
    <t>04</t>
  </si>
  <si>
    <t>G</t>
  </si>
  <si>
    <t>H</t>
  </si>
  <si>
    <t>J</t>
  </si>
  <si>
    <t>L</t>
  </si>
  <si>
    <t>03 : Cyber Security</t>
  </si>
  <si>
    <t>03</t>
  </si>
  <si>
    <t>MiCOM P643</t>
  </si>
  <si>
    <t>Cortec Landing cell :</t>
  </si>
  <si>
    <t>Configurator feedback :</t>
  </si>
  <si>
    <t>double digit in same row</t>
  </si>
  <si>
    <t>Cortec digit control 1</t>
  </si>
  <si>
    <t>Cortec digit control 2</t>
  </si>
  <si>
    <t>Cortec digit control 3</t>
  </si>
  <si>
    <t>Cortec digit control 4</t>
  </si>
  <si>
    <t>$B$1</t>
  </si>
  <si>
    <t>$B$6</t>
  </si>
  <si>
    <t>$B$10</t>
  </si>
  <si>
    <t>$B$28</t>
  </si>
  <si>
    <t>$B$38</t>
  </si>
  <si>
    <t>$B$44</t>
  </si>
  <si>
    <t>$B$49</t>
  </si>
  <si>
    <t>$B$54</t>
  </si>
  <si>
    <t>$B$58</t>
  </si>
  <si>
    <t>P643111A1M0048K</t>
  </si>
  <si>
    <t>48 - 110 Vdc</t>
  </si>
  <si>
    <t>N</t>
  </si>
  <si>
    <t>Суффикс аппаратного устройства:</t>
  </si>
  <si>
    <t>Настройки пользователя</t>
  </si>
  <si>
    <t>По умолчанию</t>
  </si>
  <si>
    <t>Настройки устройства:</t>
  </si>
  <si>
    <t>Версия ПО:</t>
  </si>
  <si>
    <t xml:space="preserve">Китайский, Английский или Французский через ЧМИ, Английский или Французский только по порту связи </t>
  </si>
  <si>
    <t>Английский, Французский, Немецкий, Русский</t>
  </si>
  <si>
    <t>Английский, Французский, Немецкий, Испанский</t>
  </si>
  <si>
    <t>Язык:</t>
  </si>
  <si>
    <t>Утопленный монтаж с задним подключением</t>
  </si>
  <si>
    <t>Тип монтажа:</t>
  </si>
  <si>
    <t>DNP3.0 по Ethernet и Courier через задний порт K-Bus/RS485</t>
  </si>
  <si>
    <t>Протокол:</t>
  </si>
  <si>
    <t>Корпус 60TE размер 12, 16 оптовходов + 20 выходных реле (включая 4 сильноточных)</t>
  </si>
  <si>
    <t>Корпус 60TE размер 12, 16 оптовходов + 24 выходных реле</t>
  </si>
  <si>
    <t>Корпус 60TE размер 12, 24 оптовхода + 16 выходных реле</t>
  </si>
  <si>
    <t>Корпус 60TE размер 12, 16 оптовходов + 16 выходных реле + CLIO (mA I/O)</t>
  </si>
  <si>
    <t>Корпус 60TE размер 12, 16 оптовходов + 16 выходных реле + RTD</t>
  </si>
  <si>
    <t>Корпус 60TE размер 12, 16 оптовходов + 16 выходных реле</t>
  </si>
  <si>
    <t>Опции устройства:</t>
  </si>
  <si>
    <t>немодулированная плата IRIG-B</t>
  </si>
  <si>
    <t xml:space="preserve">Ethernet параллельный протокол с резервированием (PRP), 2 мультимодовых оптоволокна  + </t>
  </si>
  <si>
    <t xml:space="preserve"> модулированная плата IRIG-B</t>
  </si>
  <si>
    <t>Ethernet параллельный протокол с резервированием (PRP), 2 мультимодовых оптоволокна  +</t>
  </si>
  <si>
    <t xml:space="preserve">немодулированнаяплата IRIG-B </t>
  </si>
  <si>
    <t xml:space="preserve">Двойное подключение через Ethernet Star, 2 мультимодовых оптоволоконных порта + </t>
  </si>
  <si>
    <t>модулированная плата IRIG-B</t>
  </si>
  <si>
    <t xml:space="preserve">немодулированная плата IRIG-B  </t>
  </si>
  <si>
    <t xml:space="preserve">Ethernet RSTP с резервированием, 2 мультимодовых оптоволоконных порта+ </t>
  </si>
  <si>
    <t xml:space="preserve">модулированная плата  IRIG-B </t>
  </si>
  <si>
    <t>Ethernet RSTP с резервированием, 2 мультимодовых оптоволоконных порта+</t>
  </si>
  <si>
    <t xml:space="preserve">немодулированная плата IRIG-B </t>
  </si>
  <si>
    <t xml:space="preserve">Ethernet кольцо с резервированием, 2 мультимодовых оптоволоконных порта+  </t>
  </si>
  <si>
    <t>Ethernet кольцо с резервированием, 2 мультимодовых оптоволоконных порта +</t>
  </si>
  <si>
    <t xml:space="preserve">Ethernet (100Mbit/s) + немодулированная плата IRIG-B </t>
  </si>
  <si>
    <t xml:space="preserve">Ethernet (100Mbit/s) + модулированная плата IRIG-B  </t>
  </si>
  <si>
    <t>Второй задний порт + модулированная плата IRIG-B (Courier EIA232/EIA485/k-bus)</t>
  </si>
  <si>
    <t>Второй задний порт (Courier EIA232/EIA485/k-bus)</t>
  </si>
  <si>
    <t>Ethernet (100Mbit/s) оптический порт</t>
  </si>
  <si>
    <t>Модулированная плата IRIG-B и оптический конвертор</t>
  </si>
  <si>
    <t>Только оптический конвертор</t>
  </si>
  <si>
    <t xml:space="preserve">Только модулированнная плата IRIG-B </t>
  </si>
  <si>
    <t>Стандартный</t>
  </si>
  <si>
    <t>Аппаратные опции:</t>
  </si>
  <si>
    <t>Цепи ТТ и ТН:</t>
  </si>
  <si>
    <t>Напряжение питания:</t>
  </si>
  <si>
    <t xml:space="preserve">с платой входов Sigma-Delta </t>
  </si>
  <si>
    <t xml:space="preserve">Дифференциальная защита транформатора </t>
  </si>
  <si>
    <t>Готовая к использованию конфигурация</t>
  </si>
  <si>
    <t>Форма заказа</t>
  </si>
  <si>
    <t>Ethernet параллельный протокол с резервированием (PRP), 2 мультимодовых оптоволокна +  модулированная плата IRIG-B</t>
  </si>
  <si>
    <t>Ethernet параллельный протокол с резервированием (PRP), 2 мультимодовых оптоволокна  + немодулированная плата IRIG-B</t>
  </si>
  <si>
    <t>24 - 32 Vdc</t>
  </si>
  <si>
    <t>A0</t>
  </si>
  <si>
    <t>Q</t>
  </si>
  <si>
    <t>Протокол IEC 61850 Издание 1 и Издание 2  и Courier по заднему K-Bus/RS485</t>
  </si>
  <si>
    <t>Усовершенствованный процессор Фаза 2</t>
  </si>
  <si>
    <t>Усовершенствованный процессор Фаза 3</t>
  </si>
  <si>
    <t>B0</t>
  </si>
  <si>
    <t>Стандартные</t>
  </si>
  <si>
    <t xml:space="preserve">Только модулированная плата IRIG-B </t>
  </si>
  <si>
    <t xml:space="preserve">Модулированная плата IRIG-B  &amp;  оптический конвертор </t>
  </si>
  <si>
    <t>Резервированное подключение по Ethernet (100Mbit/s) PRP или HSR и Двойной IP адрес, 2 LC порта + 1 порт RJ45</t>
  </si>
  <si>
    <t>Резервированное подключение по Ethernet (100Mbit/s) PRP или HSR и Двойной IP адрес, 3 порта RJ45 + модулированная/ немодулированная плата IRIG-B</t>
  </si>
  <si>
    <t>Подключение по Ethernet (100Mbit/s), 1 порт RJ45 + модулированная/ немодулированная плата IRIG-B</t>
  </si>
  <si>
    <t>R</t>
  </si>
  <si>
    <t>S</t>
  </si>
  <si>
    <t xml:space="preserve">Ethernet (100Mits/s) оптический порт </t>
  </si>
  <si>
    <t xml:space="preserve">Ethernet (100Mbit/s) + модулированная плата IRIG-B </t>
  </si>
  <si>
    <t>Дублированный Ethernet (кольцо SHR), 2 мультимодовых порта + модулированная IRIG-B</t>
  </si>
  <si>
    <t>Дублированный Ethernet (кольцо SHR), 2 мультимодовых порта + немодулированная IRIG-B</t>
  </si>
  <si>
    <t>Дублированный Ethernet RSTP, 2 мультимодовых порта + модулированная плата  IRIG-B</t>
  </si>
  <si>
    <t xml:space="preserve">Дублированный  Ethernet RSTP, 2 мультимодовых порта + немодулированная IRIG-B </t>
  </si>
  <si>
    <t xml:space="preserve">Дублированный  Ethernet (двойная звезда), 2 мультимодовых порта + модулированная IRIG-B </t>
  </si>
  <si>
    <t>Дублированный  Ethernet (двойная звезда), 2 мультимодовых порта + немодулированная IRIG-B</t>
  </si>
  <si>
    <t>Дублированный  Ethernet параллельный протокол (PRP), 2 мультимодовых порта + модулированная IRIG-B</t>
  </si>
  <si>
    <t>Дублированный  Ethernet параллельный протокол (PRP), 2 мультимодовых порта + немодулированная IRIG-B</t>
  </si>
  <si>
    <t>2 LC порта  + 1 порт RJ45</t>
  </si>
  <si>
    <t>Резервированное подключение по Ethernet (100Mbit/s) PRP или HSR и Двойной IP адрес,</t>
  </si>
  <si>
    <t>3 порта RJ45 + модулированная/ немодулированная плата IRIG-B</t>
  </si>
  <si>
    <t xml:space="preserve">Резервированное подключение по Ethernet (100Mbit/s) PRP или HSR и Двойной IP адрес, </t>
  </si>
  <si>
    <t xml:space="preserve"> плата IRIG-B</t>
  </si>
  <si>
    <t>Подключение по Ethernet (100Mbit/s), 1 порт RJ45 + модулированная/ немодулированная</t>
  </si>
  <si>
    <t>2  и Courier по заднему K-Bus/RS485</t>
  </si>
  <si>
    <t>IEC 61850 по Ethernet и Courier по заднему K-Bus/RS485 или Протокол IEC 61850 Издание 1 и Издание</t>
  </si>
  <si>
    <t>IEC61850 + DNP3.0 по заднему K-Bus/RS485</t>
  </si>
  <si>
    <t>A1</t>
  </si>
  <si>
    <t>IEC 61850 по Ethernet и Courier по заднему K-Bus/RS485</t>
  </si>
  <si>
    <t>DNP3.0 по Ethernet и Courier по заднему K-Bus/RS485</t>
  </si>
  <si>
    <t>B1</t>
  </si>
  <si>
    <t>B1 : HSR / IEC61850 Редакция 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</si>
</sst>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0000"/>
    <numFmt numFmtId="205" formatCode="#0,000"/>
    <numFmt numFmtId="206" formatCode="0.000"/>
    <numFmt numFmtId="207" formatCode=";;;"/>
    <numFmt numFmtId="208" formatCode="00"/>
    <numFmt numFmtId="209" formatCode="000"/>
    <numFmt numFmtId="210" formatCode="[$-809]dd\ mmmm\ yyyy"/>
    <numFmt numFmtId="211" formatCode="dd/mm/yy;@"/>
  </numFmts>
  <fonts count="70">
    <font>
      <sz val="8"/>
      <name val="FuturaA Bk BT"/>
      <family val="0"/>
    </font>
    <font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FuturaA Bk BT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i/>
      <sz val="10"/>
      <color indexed="17"/>
      <name val="Arial"/>
      <family val="2"/>
    </font>
    <font>
      <sz val="12"/>
      <color indexed="10"/>
      <name val="Arial"/>
      <family val="2"/>
    </font>
    <font>
      <b/>
      <sz val="14"/>
      <color indexed="9"/>
      <name val="SEOptimist"/>
      <family val="3"/>
    </font>
    <font>
      <b/>
      <sz val="10"/>
      <color indexed="17"/>
      <name val="Arial"/>
      <family val="2"/>
    </font>
    <font>
      <b/>
      <sz val="8"/>
      <color indexed="17"/>
      <name val="FuturaA Bk BT"/>
      <family val="0"/>
    </font>
    <font>
      <sz val="14"/>
      <color indexed="17"/>
      <name val="SEOptimist"/>
      <family val="3"/>
    </font>
    <font>
      <sz val="18"/>
      <name val="SEOptimistBlack"/>
      <family val="3"/>
    </font>
    <font>
      <sz val="18"/>
      <name val="Arial"/>
      <family val="2"/>
    </font>
    <font>
      <sz val="14"/>
      <name val="SEOptimist"/>
      <family val="3"/>
    </font>
    <font>
      <sz val="10"/>
      <name val="SEOptimist"/>
      <family val="3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SEOptimist"/>
      <family val="3"/>
    </font>
    <font>
      <sz val="6"/>
      <name val="Arial"/>
      <family val="2"/>
    </font>
    <font>
      <i/>
      <sz val="10"/>
      <color indexed="10"/>
      <name val="Arial"/>
      <family val="2"/>
    </font>
    <font>
      <b/>
      <sz val="12"/>
      <color indexed="9"/>
      <name val="SEOptimis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FuturaA Bk BT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42" applyBorder="1" applyAlignment="1">
      <alignment horizontal="center"/>
      <protection/>
    </xf>
    <xf numFmtId="0" fontId="1" fillId="0" borderId="0" xfId="42">
      <alignment/>
      <protection/>
    </xf>
    <xf numFmtId="0" fontId="1" fillId="0" borderId="0" xfId="42" applyBorder="1">
      <alignment/>
      <protection/>
    </xf>
    <xf numFmtId="0" fontId="4" fillId="0" borderId="10" xfId="42" applyFont="1" applyBorder="1">
      <alignment/>
      <protection/>
    </xf>
    <xf numFmtId="0" fontId="1" fillId="0" borderId="10" xfId="42" applyFont="1" applyBorder="1">
      <alignment/>
      <protection/>
    </xf>
    <xf numFmtId="0" fontId="1" fillId="0" borderId="0" xfId="42" applyFont="1" applyBorder="1">
      <alignment/>
      <protection/>
    </xf>
    <xf numFmtId="0" fontId="1" fillId="0" borderId="0" xfId="42" applyFont="1" applyBorder="1" applyAlignment="1">
      <alignment horizontal="center"/>
      <protection/>
    </xf>
    <xf numFmtId="0" fontId="1" fillId="0" borderId="0" xfId="42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4" fillId="0" borderId="0" xfId="42" applyFont="1" applyBorder="1" applyAlignment="1">
      <alignment horizontal="center"/>
      <protection/>
    </xf>
    <xf numFmtId="0" fontId="1" fillId="0" borderId="13" xfId="42" applyBorder="1">
      <alignment/>
      <protection/>
    </xf>
    <xf numFmtId="0" fontId="4" fillId="0" borderId="14" xfId="42" applyFont="1" applyBorder="1">
      <alignment/>
      <protection/>
    </xf>
    <xf numFmtId="0" fontId="7" fillId="0" borderId="0" xfId="42" applyFont="1" applyBorder="1">
      <alignment/>
      <protection/>
    </xf>
    <xf numFmtId="0" fontId="7" fillId="0" borderId="0" xfId="42" applyFont="1">
      <alignment/>
      <protection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3" xfId="42" applyFont="1" applyBorder="1" applyAlignment="1">
      <alignment horizontal="center"/>
      <protection/>
    </xf>
    <xf numFmtId="0" fontId="1" fillId="0" borderId="25" xfId="42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14" fontId="1" fillId="0" borderId="2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 quotePrefix="1">
      <alignment horizontal="center"/>
    </xf>
    <xf numFmtId="0" fontId="1" fillId="0" borderId="27" xfId="0" applyFont="1" applyBorder="1" applyAlignment="1" quotePrefix="1">
      <alignment horizontal="center"/>
    </xf>
    <xf numFmtId="0" fontId="1" fillId="0" borderId="28" xfId="0" applyFont="1" applyBorder="1" applyAlignment="1" quotePrefix="1">
      <alignment horizontal="center"/>
    </xf>
    <xf numFmtId="0" fontId="1" fillId="0" borderId="27" xfId="42" applyFont="1" applyBorder="1" applyAlignment="1">
      <alignment horizontal="center"/>
      <protection/>
    </xf>
    <xf numFmtId="0" fontId="1" fillId="0" borderId="28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5" xfId="42" applyFont="1" applyBorder="1">
      <alignment/>
      <protection/>
    </xf>
    <xf numFmtId="0" fontId="1" fillId="0" borderId="29" xfId="0" applyFont="1" applyFill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7" xfId="42" applyFont="1" applyBorder="1" applyAlignment="1" quotePrefix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 quotePrefix="1">
      <alignment horizontal="center"/>
    </xf>
    <xf numFmtId="0" fontId="2" fillId="0" borderId="29" xfId="0" applyFont="1" applyBorder="1" applyAlignment="1" quotePrefix="1">
      <alignment horizontal="center"/>
    </xf>
    <xf numFmtId="0" fontId="1" fillId="0" borderId="28" xfId="42" applyFont="1" applyBorder="1" applyAlignment="1" quotePrefix="1">
      <alignment horizontal="center"/>
      <protection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42" applyFont="1" applyBorder="1" applyAlignment="1">
      <alignment horizontal="center"/>
      <protection/>
    </xf>
    <xf numFmtId="0" fontId="15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2" xfId="42" applyFont="1" applyBorder="1">
      <alignment/>
      <protection/>
    </xf>
    <xf numFmtId="0" fontId="16" fillId="0" borderId="22" xfId="0" applyFont="1" applyBorder="1" applyAlignment="1">
      <alignment/>
    </xf>
    <xf numFmtId="0" fontId="15" fillId="0" borderId="30" xfId="0" applyFont="1" applyBorder="1" applyAlignment="1">
      <alignment vertic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2" xfId="42" applyFont="1" applyBorder="1">
      <alignment/>
      <protection/>
    </xf>
    <xf numFmtId="0" fontId="17" fillId="0" borderId="24" xfId="0" applyFont="1" applyFill="1" applyBorder="1" applyAlignment="1">
      <alignment horizontal="center" vertical="center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14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" fontId="18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34" xfId="42" applyBorder="1">
      <alignment/>
      <protection/>
    </xf>
    <xf numFmtId="0" fontId="4" fillId="0" borderId="35" xfId="42" applyFont="1" applyBorder="1" applyAlignment="1">
      <alignment vertical="center"/>
      <protection/>
    </xf>
    <xf numFmtId="0" fontId="4" fillId="0" borderId="36" xfId="42" applyFont="1" applyBorder="1" applyAlignment="1">
      <alignment horizontal="center" vertical="center"/>
      <protection/>
    </xf>
    <xf numFmtId="0" fontId="9" fillId="0" borderId="37" xfId="42" applyFont="1" applyBorder="1" applyAlignment="1">
      <alignment vertical="center" wrapText="1"/>
      <protection/>
    </xf>
    <xf numFmtId="0" fontId="19" fillId="0" borderId="38" xfId="42" applyFont="1" applyBorder="1">
      <alignment/>
      <protection/>
    </xf>
    <xf numFmtId="0" fontId="1" fillId="0" borderId="39" xfId="42" applyFont="1" applyBorder="1">
      <alignment/>
      <protection/>
    </xf>
    <xf numFmtId="0" fontId="19" fillId="0" borderId="10" xfId="42" applyFont="1" applyBorder="1">
      <alignment/>
      <protection/>
    </xf>
    <xf numFmtId="0" fontId="1" fillId="0" borderId="10" xfId="42" applyFont="1" applyBorder="1" applyAlignment="1">
      <alignment vertical="center"/>
      <protection/>
    </xf>
    <xf numFmtId="0" fontId="9" fillId="0" borderId="10" xfId="42" applyFont="1" applyBorder="1" applyAlignment="1">
      <alignment/>
      <protection/>
    </xf>
    <xf numFmtId="0" fontId="9" fillId="0" borderId="0" xfId="42" applyFont="1" applyBorder="1" applyAlignment="1">
      <alignment/>
      <protection/>
    </xf>
    <xf numFmtId="0" fontId="10" fillId="0" borderId="40" xfId="0" applyFont="1" applyBorder="1" applyAlignment="1">
      <alignment/>
    </xf>
    <xf numFmtId="0" fontId="10" fillId="0" borderId="11" xfId="0" applyFont="1" applyBorder="1" applyAlignment="1">
      <alignment/>
    </xf>
    <xf numFmtId="0" fontId="1" fillId="34" borderId="0" xfId="42" applyFill="1" applyBorder="1">
      <alignment/>
      <protection/>
    </xf>
    <xf numFmtId="0" fontId="3" fillId="34" borderId="0" xfId="42" applyFont="1" applyFill="1" applyBorder="1">
      <alignment/>
      <protection/>
    </xf>
    <xf numFmtId="0" fontId="20" fillId="35" borderId="41" xfId="42" applyFont="1" applyFill="1" applyBorder="1" applyAlignment="1">
      <alignment horizontal="right"/>
      <protection/>
    </xf>
    <xf numFmtId="0" fontId="20" fillId="35" borderId="41" xfId="42" applyFont="1" applyFill="1" applyBorder="1" applyAlignment="1">
      <alignment horizontal="center"/>
      <protection/>
    </xf>
    <xf numFmtId="0" fontId="20" fillId="34" borderId="41" xfId="42" applyFont="1" applyFill="1" applyBorder="1" applyAlignment="1">
      <alignment horizontal="center"/>
      <protection/>
    </xf>
    <xf numFmtId="0" fontId="21" fillId="0" borderId="0" xfId="42" applyFont="1" applyBorder="1" applyAlignment="1">
      <alignment horizontal="center"/>
      <protection/>
    </xf>
    <xf numFmtId="0" fontId="21" fillId="0" borderId="0" xfId="42" applyFont="1" applyFill="1" applyBorder="1" applyAlignment="1">
      <alignment horizontal="center"/>
      <protection/>
    </xf>
    <xf numFmtId="0" fontId="21" fillId="0" borderId="42" xfId="42" applyFont="1" applyBorder="1" applyAlignment="1">
      <alignment horizontal="center"/>
      <protection/>
    </xf>
    <xf numFmtId="0" fontId="21" fillId="0" borderId="19" xfId="42" applyFont="1" applyBorder="1" applyAlignment="1">
      <alignment horizontal="center"/>
      <protection/>
    </xf>
    <xf numFmtId="0" fontId="21" fillId="0" borderId="42" xfId="42" applyFont="1" applyFill="1" applyBorder="1" applyAlignment="1">
      <alignment horizontal="center"/>
      <protection/>
    </xf>
    <xf numFmtId="0" fontId="21" fillId="0" borderId="19" xfId="42" applyFont="1" applyFill="1" applyBorder="1" applyAlignment="1">
      <alignment horizontal="center"/>
      <protection/>
    </xf>
    <xf numFmtId="0" fontId="13" fillId="0" borderId="42" xfId="42" applyFont="1" applyBorder="1">
      <alignment/>
      <protection/>
    </xf>
    <xf numFmtId="0" fontId="21" fillId="0" borderId="42" xfId="42" applyFont="1" applyFill="1" applyBorder="1" applyAlignment="1" quotePrefix="1">
      <alignment horizontal="center"/>
      <protection/>
    </xf>
    <xf numFmtId="0" fontId="11" fillId="0" borderId="0" xfId="43" applyFont="1" applyFill="1">
      <alignment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/>
    </xf>
    <xf numFmtId="0" fontId="29" fillId="36" borderId="32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44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9" fillId="36" borderId="30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0" fontId="2" fillId="36" borderId="45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10" fillId="36" borderId="3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2" fillId="36" borderId="47" xfId="0" applyFont="1" applyFill="1" applyBorder="1" applyAlignment="1">
      <alignment/>
    </xf>
    <xf numFmtId="0" fontId="2" fillId="37" borderId="44" xfId="0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29" fillId="37" borderId="30" xfId="0" applyFont="1" applyFill="1" applyBorder="1" applyAlignment="1">
      <alignment/>
    </xf>
    <xf numFmtId="0" fontId="29" fillId="37" borderId="2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2" fillId="37" borderId="32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2" fillId="37" borderId="42" xfId="0" applyFont="1" applyFill="1" applyBorder="1" applyAlignment="1">
      <alignment/>
    </xf>
    <xf numFmtId="0" fontId="2" fillId="37" borderId="30" xfId="0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6" fillId="36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17" fillId="0" borderId="48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48" xfId="0" applyFont="1" applyBorder="1" applyAlignment="1" quotePrefix="1">
      <alignment horizontal="center" vertical="center"/>
    </xf>
    <xf numFmtId="0" fontId="2" fillId="0" borderId="21" xfId="0" applyFont="1" applyBorder="1" applyAlignment="1">
      <alignment/>
    </xf>
    <xf numFmtId="16" fontId="12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17" fontId="12" fillId="0" borderId="19" xfId="0" applyNumberFormat="1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vertical="top"/>
    </xf>
    <xf numFmtId="14" fontId="6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/>
    </xf>
    <xf numFmtId="0" fontId="20" fillId="0" borderId="41" xfId="42" applyFont="1" applyFill="1" applyBorder="1" applyAlignment="1">
      <alignment horizontal="center"/>
      <protection/>
    </xf>
    <xf numFmtId="0" fontId="30" fillId="0" borderId="0" xfId="42" applyFont="1" applyBorder="1">
      <alignment/>
      <protection/>
    </xf>
    <xf numFmtId="0" fontId="30" fillId="0" borderId="49" xfId="42" applyFont="1" applyBorder="1">
      <alignment/>
      <protection/>
    </xf>
    <xf numFmtId="0" fontId="0" fillId="0" borderId="0" xfId="0" applyFont="1" applyFill="1" applyBorder="1" applyAlignment="1">
      <alignment/>
    </xf>
    <xf numFmtId="0" fontId="31" fillId="37" borderId="0" xfId="34" applyFont="1" applyFill="1">
      <alignment/>
      <protection/>
    </xf>
    <xf numFmtId="0" fontId="31" fillId="37" borderId="0" xfId="34" applyFont="1" applyFill="1" applyBorder="1" applyAlignment="1">
      <alignment horizontal="center"/>
      <protection/>
    </xf>
    <xf numFmtId="0" fontId="31" fillId="37" borderId="0" xfId="34" applyFont="1" applyFill="1" applyAlignment="1">
      <alignment horizontal="center"/>
      <protection/>
    </xf>
    <xf numFmtId="0" fontId="1" fillId="0" borderId="0" xfId="34">
      <alignment/>
      <protection/>
    </xf>
    <xf numFmtId="0" fontId="1" fillId="38" borderId="0" xfId="34" applyFill="1">
      <alignment/>
      <protection/>
    </xf>
    <xf numFmtId="0" fontId="1" fillId="39" borderId="0" xfId="34" applyFill="1" applyBorder="1" applyAlignment="1">
      <alignment horizontal="center"/>
      <protection/>
    </xf>
    <xf numFmtId="0" fontId="1" fillId="38" borderId="0" xfId="34" applyFill="1" applyAlignment="1">
      <alignment horizontal="center"/>
      <protection/>
    </xf>
    <xf numFmtId="0" fontId="1" fillId="37" borderId="0" xfId="34" applyFill="1">
      <alignment/>
      <protection/>
    </xf>
    <xf numFmtId="0" fontId="1" fillId="40" borderId="50" xfId="34" applyFill="1" applyBorder="1" applyAlignment="1">
      <alignment horizontal="center"/>
      <protection/>
    </xf>
    <xf numFmtId="0" fontId="1" fillId="37" borderId="0" xfId="34" applyFill="1" applyAlignment="1">
      <alignment horizontal="center"/>
      <protection/>
    </xf>
    <xf numFmtId="0" fontId="1" fillId="0" borderId="0" xfId="34" applyBorder="1">
      <alignment/>
      <protection/>
    </xf>
    <xf numFmtId="0" fontId="1" fillId="0" borderId="0" xfId="34" applyAlignment="1">
      <alignment horizontal="center"/>
      <protection/>
    </xf>
    <xf numFmtId="0" fontId="1" fillId="37" borderId="0" xfId="34" applyFill="1" applyBorder="1" applyAlignment="1">
      <alignment horizontal="center"/>
      <protection/>
    </xf>
    <xf numFmtId="0" fontId="9" fillId="33" borderId="0" xfId="34" applyFont="1" applyFill="1" applyBorder="1" applyAlignment="1" applyProtection="1">
      <alignment horizontal="center"/>
      <protection locked="0"/>
    </xf>
    <xf numFmtId="0" fontId="9" fillId="33" borderId="22" xfId="34" applyFont="1" applyFill="1" applyBorder="1" applyAlignment="1" applyProtection="1">
      <alignment horizontal="center"/>
      <protection locked="0"/>
    </xf>
    <xf numFmtId="0" fontId="1" fillId="0" borderId="0" xfId="34" applyBorder="1" applyAlignment="1">
      <alignment horizontal="center"/>
      <protection/>
    </xf>
    <xf numFmtId="0" fontId="1" fillId="0" borderId="0" xfId="34" quotePrefix="1">
      <alignment/>
      <protection/>
    </xf>
    <xf numFmtId="0" fontId="1" fillId="0" borderId="19" xfId="42" applyFont="1" applyBorder="1">
      <alignment/>
      <protection/>
    </xf>
    <xf numFmtId="0" fontId="1" fillId="0" borderId="27" xfId="0" applyFont="1" applyBorder="1" applyAlignment="1">
      <alignment horizontal="center"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" fillId="0" borderId="42" xfId="42" applyFont="1" applyBorder="1">
      <alignment/>
      <protection/>
    </xf>
    <xf numFmtId="0" fontId="21" fillId="36" borderId="0" xfId="42" applyFont="1" applyFill="1" applyBorder="1" applyAlignment="1">
      <alignment horizontal="center"/>
      <protection/>
    </xf>
    <xf numFmtId="0" fontId="22" fillId="0" borderId="0" xfId="39" applyFont="1" applyBorder="1">
      <alignment/>
      <protection/>
    </xf>
    <xf numFmtId="0" fontId="1" fillId="0" borderId="0" xfId="42" applyFont="1" applyBorder="1">
      <alignment/>
      <protection/>
    </xf>
    <xf numFmtId="0" fontId="21" fillId="37" borderId="0" xfId="42" applyFont="1" applyFill="1" applyBorder="1" applyAlignment="1">
      <alignment horizontal="center"/>
      <protection/>
    </xf>
    <xf numFmtId="0" fontId="1" fillId="0" borderId="0" xfId="42" applyFont="1">
      <alignment/>
      <protection/>
    </xf>
    <xf numFmtId="0" fontId="21" fillId="0" borderId="22" xfId="42" applyFont="1" applyFill="1" applyBorder="1" applyAlignment="1">
      <alignment horizontal="center"/>
      <protection/>
    </xf>
    <xf numFmtId="0" fontId="21" fillId="0" borderId="22" xfId="42" applyFont="1" applyBorder="1" applyAlignment="1">
      <alignment horizontal="center"/>
      <protection/>
    </xf>
    <xf numFmtId="0" fontId="1" fillId="0" borderId="22" xfId="42" applyFont="1" applyBorder="1">
      <alignment/>
      <protection/>
    </xf>
    <xf numFmtId="0" fontId="1" fillId="0" borderId="42" xfId="42" applyNumberFormat="1" applyFont="1" applyBorder="1">
      <alignment/>
      <protection/>
    </xf>
    <xf numFmtId="0" fontId="20" fillId="35" borderId="0" xfId="42" applyFont="1" applyFill="1" applyBorder="1" applyAlignment="1">
      <alignment horizontal="right"/>
      <protection/>
    </xf>
    <xf numFmtId="0" fontId="20" fillId="35" borderId="0" xfId="42" applyFont="1" applyFill="1" applyBorder="1">
      <alignment/>
      <protection/>
    </xf>
    <xf numFmtId="0" fontId="33" fillId="35" borderId="0" xfId="42" applyFont="1" applyFill="1" applyBorder="1">
      <alignment/>
      <protection/>
    </xf>
    <xf numFmtId="0" fontId="20" fillId="35" borderId="51" xfId="42" applyFont="1" applyFill="1" applyBorder="1">
      <alignment/>
      <protection/>
    </xf>
    <xf numFmtId="0" fontId="33" fillId="35" borderId="51" xfId="42" applyFont="1" applyFill="1" applyBorder="1">
      <alignment/>
      <protection/>
    </xf>
    <xf numFmtId="0" fontId="0" fillId="34" borderId="0" xfId="39" applyFill="1" applyBorder="1">
      <alignment/>
      <protection/>
    </xf>
    <xf numFmtId="0" fontId="0" fillId="0" borderId="0" xfId="39" applyAlignment="1">
      <alignment horizontal="center" vertical="top"/>
      <protection/>
    </xf>
    <xf numFmtId="0" fontId="27" fillId="0" borderId="0" xfId="39" applyFont="1" applyAlignment="1">
      <alignment horizontal="center" vertical="top"/>
      <protection/>
    </xf>
    <xf numFmtId="0" fontId="26" fillId="0" borderId="0" xfId="39" applyFont="1" applyAlignment="1">
      <alignment vertical="top"/>
      <protection/>
    </xf>
    <xf numFmtId="0" fontId="0" fillId="0" borderId="0" xfId="39">
      <alignment/>
      <protection/>
    </xf>
    <xf numFmtId="0" fontId="0" fillId="0" borderId="0" xfId="39" applyAlignment="1">
      <alignment horizontal="center"/>
      <protection/>
    </xf>
    <xf numFmtId="49" fontId="0" fillId="0" borderId="0" xfId="39" applyNumberFormat="1" applyAlignment="1">
      <alignment vertical="top"/>
      <protection/>
    </xf>
    <xf numFmtId="0" fontId="25" fillId="0" borderId="0" xfId="39" applyFont="1" applyAlignment="1">
      <alignment horizontal="center" vertical="top"/>
      <protection/>
    </xf>
    <xf numFmtId="0" fontId="24" fillId="0" borderId="0" xfId="39" applyFont="1" applyAlignment="1">
      <alignment horizontal="center" vertical="top"/>
      <protection/>
    </xf>
    <xf numFmtId="0" fontId="24" fillId="0" borderId="0" xfId="39" applyFont="1" applyAlignment="1">
      <alignment vertical="top"/>
      <protection/>
    </xf>
    <xf numFmtId="49" fontId="25" fillId="0" borderId="0" xfId="39" applyNumberFormat="1" applyFont="1" applyAlignment="1">
      <alignment vertical="top"/>
      <protection/>
    </xf>
    <xf numFmtId="0" fontId="24" fillId="0" borderId="0" xfId="39" applyFont="1" applyFill="1">
      <alignment/>
      <protection/>
    </xf>
    <xf numFmtId="0" fontId="0" fillId="0" borderId="0" xfId="39" applyFill="1">
      <alignment/>
      <protection/>
    </xf>
    <xf numFmtId="49" fontId="23" fillId="0" borderId="0" xfId="39" applyNumberFormat="1" applyFont="1" applyAlignment="1">
      <alignment vertical="top"/>
      <protection/>
    </xf>
    <xf numFmtId="0" fontId="26" fillId="0" borderId="0" xfId="39" applyFont="1" applyAlignment="1">
      <alignment horizontal="center" vertical="top"/>
      <protection/>
    </xf>
    <xf numFmtId="0" fontId="17" fillId="0" borderId="52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5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/>
    </xf>
    <xf numFmtId="0" fontId="14" fillId="0" borderId="31" xfId="0" applyFont="1" applyBorder="1" applyAlignment="1" quotePrefix="1">
      <alignment/>
    </xf>
    <xf numFmtId="0" fontId="14" fillId="0" borderId="23" xfId="0" applyFont="1" applyBorder="1" applyAlignment="1" quotePrefix="1">
      <alignment/>
    </xf>
    <xf numFmtId="1" fontId="32" fillId="0" borderId="33" xfId="0" applyNumberFormat="1" applyFont="1" applyFill="1" applyBorder="1" applyAlignment="1" applyProtection="1">
      <alignment horizontal="left" vertical="center"/>
      <protection locked="0"/>
    </xf>
    <xf numFmtId="0" fontId="14" fillId="0" borderId="33" xfId="0" applyFont="1" applyBorder="1" applyAlignment="1" quotePrefix="1">
      <alignment/>
    </xf>
    <xf numFmtId="0" fontId="14" fillId="0" borderId="25" xfId="0" applyFont="1" applyBorder="1" applyAlignment="1" quotePrefix="1">
      <alignment/>
    </xf>
    <xf numFmtId="0" fontId="14" fillId="0" borderId="32" xfId="0" applyFont="1" applyBorder="1" applyAlignment="1" quotePrefix="1">
      <alignment/>
    </xf>
    <xf numFmtId="0" fontId="14" fillId="0" borderId="29" xfId="0" applyFont="1" applyBorder="1" applyAlignment="1" quotePrefix="1">
      <alignment/>
    </xf>
    <xf numFmtId="0" fontId="14" fillId="0" borderId="31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4" fontId="69" fillId="0" borderId="2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34" borderId="55" xfId="42" applyFont="1" applyFill="1" applyBorder="1" applyAlignment="1">
      <alignment horizontal="center"/>
      <protection/>
    </xf>
    <xf numFmtId="0" fontId="3" fillId="34" borderId="56" xfId="42" applyFont="1" applyFill="1" applyBorder="1" applyAlignment="1">
      <alignment horizontal="center"/>
      <protection/>
    </xf>
    <xf numFmtId="0" fontId="21" fillId="0" borderId="22" xfId="42" applyFont="1" applyFill="1" applyBorder="1" applyAlignment="1">
      <alignment horizontal="center" vertical="center"/>
      <protection/>
    </xf>
    <xf numFmtId="0" fontId="21" fillId="0" borderId="42" xfId="42" applyFont="1" applyFill="1" applyBorder="1" applyAlignment="1">
      <alignment horizontal="center" vertical="center"/>
      <protection/>
    </xf>
    <xf numFmtId="14" fontId="6" fillId="0" borderId="57" xfId="0" applyNumberFormat="1" applyFont="1" applyBorder="1" applyAlignment="1" applyProtection="1">
      <alignment horizontal="center" vertical="center"/>
      <protection locked="0"/>
    </xf>
    <xf numFmtId="14" fontId="6" fillId="0" borderId="58" xfId="0" applyNumberFormat="1" applyFont="1" applyBorder="1" applyAlignment="1" applyProtection="1">
      <alignment horizontal="center" vertical="center"/>
      <protection locked="0"/>
    </xf>
    <xf numFmtId="14" fontId="6" fillId="0" borderId="59" xfId="0" applyNumberFormat="1" applyFont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2" applyFont="1" applyBorder="1" applyAlignment="1">
      <alignment horizontal="left"/>
      <protection/>
    </xf>
    <xf numFmtId="0" fontId="9" fillId="0" borderId="0" xfId="42" applyFont="1" applyBorder="1" applyAlignment="1">
      <alignment horizontal="left"/>
      <protection/>
    </xf>
    <xf numFmtId="0" fontId="9" fillId="0" borderId="13" xfId="42" applyFont="1" applyBorder="1" applyAlignment="1">
      <alignment horizontal="left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2" xfId="34"/>
    <cellStyle name="Normal 3" xfId="35"/>
    <cellStyle name="Normal 3 2" xfId="36"/>
    <cellStyle name="Normal 3 2 2" xfId="37"/>
    <cellStyle name="Normal 5" xfId="38"/>
    <cellStyle name="Normal 5 2" xfId="39"/>
    <cellStyle name="Normal 6" xfId="40"/>
    <cellStyle name="Normal 7" xfId="41"/>
    <cellStyle name="Normal_P241 cortec" xfId="42"/>
    <cellStyle name="Normal_P542 cortec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tecs\P139%20OrderForm_v18_03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Cortec ENG"/>
      <sheetName val="Configurator"/>
      <sheetName val="Master Text"/>
      <sheetName val="Availability"/>
      <sheetName val="Change Log"/>
      <sheetName val="BOM"/>
      <sheetName val="Tendering"/>
      <sheetName val="Routing"/>
      <sheetName val="Routing DB"/>
      <sheetName val="Parts List"/>
      <sheetName val="Processor Lookup"/>
      <sheetName val="Date Drivers"/>
      <sheetName val="Date Drivers HIST"/>
      <sheetName val="Codes"/>
      <sheetName val="Codes HIST"/>
      <sheetName val="Data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79"/>
  <sheetViews>
    <sheetView showGridLines="0" showRowColHeaders="0" tabSelected="1" zoomScalePageLayoutView="0" workbookViewId="0" topLeftCell="A1">
      <pane ySplit="6" topLeftCell="A43" activePane="bottomLeft" state="frozen"/>
      <selection pane="topLeft" activeCell="A1" sqref="A1"/>
      <selection pane="bottomLeft" activeCell="H63" sqref="H63"/>
    </sheetView>
  </sheetViews>
  <sheetFormatPr defaultColWidth="9.140625" defaultRowHeight="12"/>
  <cols>
    <col min="1" max="1" width="10.7109375" style="2" customWidth="1"/>
    <col min="2" max="2" width="78.00390625" style="2" customWidth="1"/>
    <col min="3" max="3" width="7.421875" style="2" customWidth="1"/>
    <col min="4" max="6" width="3.00390625" style="8" bestFit="1" customWidth="1"/>
    <col min="7" max="7" width="3.28125" style="8" bestFit="1" customWidth="1"/>
    <col min="8" max="8" width="3.00390625" style="8" bestFit="1" customWidth="1"/>
    <col min="9" max="9" width="3.7109375" style="8" bestFit="1" customWidth="1"/>
    <col min="10" max="10" width="3.00390625" style="8" bestFit="1" customWidth="1"/>
    <col min="11" max="11" width="3.421875" style="8" bestFit="1" customWidth="1"/>
    <col min="12" max="12" width="3.00390625" style="8" bestFit="1" customWidth="1"/>
    <col min="13" max="13" width="3.28125" style="8" bestFit="1" customWidth="1"/>
    <col min="14" max="16384" width="9.28125" style="2" customWidth="1"/>
  </cols>
  <sheetData>
    <row r="1" spans="1:23" ht="24">
      <c r="A1" s="236" t="s">
        <v>158</v>
      </c>
      <c r="B1" s="235"/>
      <c r="C1" s="234" t="s">
        <v>89</v>
      </c>
      <c r="D1" s="233"/>
      <c r="E1" s="232"/>
      <c r="F1" s="231"/>
      <c r="G1" s="230"/>
      <c r="H1" s="228"/>
      <c r="I1" s="227"/>
      <c r="J1" s="228"/>
      <c r="K1" s="227"/>
      <c r="L1" s="227"/>
      <c r="R1" s="124"/>
      <c r="S1" s="124"/>
      <c r="T1" s="124"/>
      <c r="U1" s="124"/>
      <c r="V1" s="124"/>
      <c r="W1" s="223"/>
    </row>
    <row r="2" spans="1:23" ht="18.75">
      <c r="A2" s="229"/>
      <c r="B2" s="229"/>
      <c r="C2" s="226" t="s">
        <v>157</v>
      </c>
      <c r="D2" s="225"/>
      <c r="E2" s="224"/>
      <c r="F2" s="224"/>
      <c r="G2" s="224"/>
      <c r="H2" s="228"/>
      <c r="I2" s="227"/>
      <c r="J2" s="228"/>
      <c r="K2" s="227"/>
      <c r="L2" s="227"/>
      <c r="M2" s="2"/>
      <c r="R2" s="124"/>
      <c r="S2" s="124"/>
      <c r="T2" s="124"/>
      <c r="U2" s="124"/>
      <c r="V2" s="124"/>
      <c r="W2" s="223"/>
    </row>
    <row r="3" spans="1:23" ht="18.75">
      <c r="A3" s="229"/>
      <c r="B3" s="229"/>
      <c r="C3" s="227"/>
      <c r="D3" s="227"/>
      <c r="E3" s="227"/>
      <c r="F3" s="228"/>
      <c r="G3" s="228"/>
      <c r="H3" s="228"/>
      <c r="I3" s="227"/>
      <c r="J3" s="228"/>
      <c r="K3" s="227"/>
      <c r="L3" s="227"/>
      <c r="M3" s="226"/>
      <c r="N3" s="225"/>
      <c r="O3" s="224"/>
      <c r="P3" s="224"/>
      <c r="Q3" s="224"/>
      <c r="R3" s="124"/>
      <c r="S3" s="124"/>
      <c r="T3" s="124"/>
      <c r="U3" s="124"/>
      <c r="V3" s="124"/>
      <c r="W3" s="223"/>
    </row>
    <row r="4" spans="1:23" ht="18.75">
      <c r="A4" s="229"/>
      <c r="B4" s="229"/>
      <c r="C4" s="227"/>
      <c r="D4" s="227"/>
      <c r="E4" s="227"/>
      <c r="F4" s="228"/>
      <c r="G4" s="228"/>
      <c r="H4" s="228"/>
      <c r="I4" s="227"/>
      <c r="J4" s="228"/>
      <c r="K4" s="227"/>
      <c r="L4" s="227"/>
      <c r="M4" s="226"/>
      <c r="N4" s="225"/>
      <c r="O4" s="224"/>
      <c r="P4" s="224"/>
      <c r="Q4" s="224"/>
      <c r="R4" s="124"/>
      <c r="S4" s="124"/>
      <c r="T4" s="124"/>
      <c r="U4" s="124"/>
      <c r="V4" s="124"/>
      <c r="W4" s="223"/>
    </row>
    <row r="5" spans="1:14" ht="13.5" thickBot="1">
      <c r="A5" s="112"/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111"/>
    </row>
    <row r="6" spans="1:14" s="15" customFormat="1" ht="20.25" thickBot="1">
      <c r="A6" s="222" t="s">
        <v>156</v>
      </c>
      <c r="B6" s="221"/>
      <c r="C6" s="113" t="s">
        <v>41</v>
      </c>
      <c r="D6" s="183"/>
      <c r="E6" s="115"/>
      <c r="F6" s="115"/>
      <c r="G6" s="115"/>
      <c r="H6" s="115"/>
      <c r="I6" s="114" t="s">
        <v>20</v>
      </c>
      <c r="J6" s="115"/>
      <c r="K6" s="115"/>
      <c r="L6" s="115"/>
      <c r="M6" s="114" t="s">
        <v>49</v>
      </c>
      <c r="N6" s="14"/>
    </row>
    <row r="7" spans="1:14" s="15" customFormat="1" ht="20.25" thickBot="1">
      <c r="A7" s="220" t="s">
        <v>155</v>
      </c>
      <c r="B7" s="219"/>
      <c r="C7" s="218"/>
      <c r="D7" s="212"/>
      <c r="E7" s="209"/>
      <c r="F7" s="212"/>
      <c r="G7" s="209"/>
      <c r="H7" s="212"/>
      <c r="I7" s="209"/>
      <c r="J7" s="212"/>
      <c r="K7" s="209"/>
      <c r="L7" s="212"/>
      <c r="M7" s="209"/>
      <c r="N7" s="14"/>
    </row>
    <row r="8" spans="1:14" ht="15.75">
      <c r="A8" s="185" t="s">
        <v>154</v>
      </c>
      <c r="B8" s="3"/>
      <c r="C8" s="3"/>
      <c r="D8" s="212"/>
      <c r="E8" s="209"/>
      <c r="F8" s="212"/>
      <c r="G8" s="209"/>
      <c r="H8" s="212"/>
      <c r="I8" s="209"/>
      <c r="J8" s="212"/>
      <c r="K8" s="209"/>
      <c r="L8" s="212"/>
      <c r="M8" s="209"/>
      <c r="N8" s="3"/>
    </row>
    <row r="9" spans="1:14" s="213" customFormat="1" ht="12.75">
      <c r="A9" s="208" t="s">
        <v>161</v>
      </c>
      <c r="B9" s="208"/>
      <c r="C9" s="208"/>
      <c r="D9" s="118">
        <v>9</v>
      </c>
      <c r="E9" s="209"/>
      <c r="F9" s="212"/>
      <c r="G9" s="209"/>
      <c r="H9" s="212"/>
      <c r="I9" s="209"/>
      <c r="J9" s="212"/>
      <c r="K9" s="209"/>
      <c r="L9" s="212"/>
      <c r="M9" s="209"/>
      <c r="N9" s="211"/>
    </row>
    <row r="10" spans="1:14" s="213" customFormat="1" ht="12.75">
      <c r="A10" s="204" t="s">
        <v>107</v>
      </c>
      <c r="B10" s="204"/>
      <c r="C10" s="204"/>
      <c r="D10" s="119">
        <v>2</v>
      </c>
      <c r="E10" s="209"/>
      <c r="F10" s="212"/>
      <c r="G10" s="209"/>
      <c r="H10" s="212"/>
      <c r="I10" s="209"/>
      <c r="J10" s="212"/>
      <c r="K10" s="209"/>
      <c r="L10" s="212"/>
      <c r="M10" s="209"/>
      <c r="N10" s="211"/>
    </row>
    <row r="11" spans="1:14" s="213" customFormat="1" ht="12.75">
      <c r="A11" s="204" t="s">
        <v>2</v>
      </c>
      <c r="B11" s="204"/>
      <c r="C11" s="204"/>
      <c r="D11" s="119">
        <v>3</v>
      </c>
      <c r="E11" s="209"/>
      <c r="F11" s="212"/>
      <c r="G11" s="209"/>
      <c r="H11" s="212"/>
      <c r="I11" s="209"/>
      <c r="J11" s="212"/>
      <c r="K11" s="209"/>
      <c r="L11" s="212"/>
      <c r="M11" s="209"/>
      <c r="N11" s="211"/>
    </row>
    <row r="12" spans="1:14" s="213" customFormat="1" ht="15.75">
      <c r="A12" s="184" t="s">
        <v>153</v>
      </c>
      <c r="B12" s="211"/>
      <c r="C12" s="211"/>
      <c r="D12" s="116"/>
      <c r="E12" s="209"/>
      <c r="F12" s="212"/>
      <c r="G12" s="209"/>
      <c r="H12" s="212"/>
      <c r="I12" s="209"/>
      <c r="J12" s="212"/>
      <c r="K12" s="209"/>
      <c r="L12" s="212"/>
      <c r="M12" s="209"/>
      <c r="N12" s="211"/>
    </row>
    <row r="13" spans="1:14" s="213" customFormat="1" ht="12.75">
      <c r="A13" s="208" t="s">
        <v>64</v>
      </c>
      <c r="B13" s="208"/>
      <c r="C13" s="208"/>
      <c r="D13" s="118"/>
      <c r="E13" s="120">
        <v>1</v>
      </c>
      <c r="F13" s="212"/>
      <c r="G13" s="209"/>
      <c r="H13" s="212"/>
      <c r="I13" s="209"/>
      <c r="J13" s="212"/>
      <c r="K13" s="209"/>
      <c r="L13" s="212"/>
      <c r="M13" s="209"/>
      <c r="N13" s="211"/>
    </row>
    <row r="14" spans="1:14" s="213" customFormat="1" ht="12.75">
      <c r="A14" s="204" t="s">
        <v>42</v>
      </c>
      <c r="B14" s="204"/>
      <c r="C14" s="204"/>
      <c r="D14" s="119"/>
      <c r="E14" s="121">
        <v>2</v>
      </c>
      <c r="F14" s="212"/>
      <c r="G14" s="209"/>
      <c r="H14" s="212"/>
      <c r="I14" s="209"/>
      <c r="J14" s="212"/>
      <c r="K14" s="209"/>
      <c r="L14" s="212"/>
      <c r="M14" s="209"/>
      <c r="N14" s="211"/>
    </row>
    <row r="15" spans="1:14" s="213" customFormat="1" ht="15.75">
      <c r="A15" s="184" t="s">
        <v>152</v>
      </c>
      <c r="B15" s="211"/>
      <c r="C15" s="211"/>
      <c r="D15" s="116"/>
      <c r="E15" s="117"/>
      <c r="F15" s="212"/>
      <c r="G15" s="209"/>
      <c r="H15" s="212"/>
      <c r="I15" s="209"/>
      <c r="J15" s="212"/>
      <c r="K15" s="209"/>
      <c r="L15" s="212"/>
      <c r="M15" s="209"/>
      <c r="N15" s="211"/>
    </row>
    <row r="16" spans="1:14" s="213" customFormat="1" ht="12.75">
      <c r="A16" s="208" t="s">
        <v>151</v>
      </c>
      <c r="B16" s="208"/>
      <c r="C16" s="208"/>
      <c r="D16" s="118"/>
      <c r="E16" s="120"/>
      <c r="F16" s="120">
        <v>1</v>
      </c>
      <c r="G16" s="209"/>
      <c r="H16" s="212"/>
      <c r="I16" s="209"/>
      <c r="J16" s="212"/>
      <c r="K16" s="209"/>
      <c r="L16" s="212"/>
      <c r="M16" s="209"/>
      <c r="N16" s="211"/>
    </row>
    <row r="17" spans="1:14" s="213" customFormat="1" ht="12.75">
      <c r="A17" s="204" t="s">
        <v>150</v>
      </c>
      <c r="B17" s="204"/>
      <c r="C17" s="204"/>
      <c r="D17" s="119"/>
      <c r="E17" s="121"/>
      <c r="F17" s="121">
        <v>2</v>
      </c>
      <c r="G17" s="209"/>
      <c r="H17" s="212"/>
      <c r="I17" s="209"/>
      <c r="J17" s="212"/>
      <c r="K17" s="209"/>
      <c r="L17" s="212"/>
      <c r="M17" s="209"/>
      <c r="N17" s="211"/>
    </row>
    <row r="18" spans="1:14" s="213" customFormat="1" ht="12.75">
      <c r="A18" s="204" t="s">
        <v>149</v>
      </c>
      <c r="B18" s="204"/>
      <c r="C18" s="204"/>
      <c r="D18" s="119"/>
      <c r="E18" s="121"/>
      <c r="F18" s="121">
        <v>3</v>
      </c>
      <c r="G18" s="209"/>
      <c r="H18" s="212"/>
      <c r="I18" s="209"/>
      <c r="J18" s="212"/>
      <c r="K18" s="209"/>
      <c r="L18" s="212"/>
      <c r="M18" s="209"/>
      <c r="N18" s="211"/>
    </row>
    <row r="19" spans="1:14" s="213" customFormat="1" ht="12.75">
      <c r="A19" s="204" t="s">
        <v>148</v>
      </c>
      <c r="B19" s="204"/>
      <c r="C19" s="204"/>
      <c r="D19" s="119"/>
      <c r="E19" s="121"/>
      <c r="F19" s="121">
        <v>4</v>
      </c>
      <c r="G19" s="209"/>
      <c r="H19" s="212"/>
      <c r="I19" s="209"/>
      <c r="J19" s="212"/>
      <c r="K19" s="209"/>
      <c r="L19" s="212"/>
      <c r="M19" s="209"/>
      <c r="N19" s="211"/>
    </row>
    <row r="20" spans="1:14" s="213" customFormat="1" ht="12.75">
      <c r="A20" s="204" t="s">
        <v>147</v>
      </c>
      <c r="B20" s="204"/>
      <c r="C20" s="204"/>
      <c r="D20" s="119"/>
      <c r="E20" s="121"/>
      <c r="F20" s="121">
        <v>6</v>
      </c>
      <c r="G20" s="209"/>
      <c r="H20" s="212"/>
      <c r="I20" s="209"/>
      <c r="J20" s="212"/>
      <c r="K20" s="209"/>
      <c r="L20" s="212"/>
      <c r="M20" s="209"/>
      <c r="N20" s="211"/>
    </row>
    <row r="21" spans="1:14" s="213" customFormat="1" ht="12.75">
      <c r="A21" s="204" t="s">
        <v>146</v>
      </c>
      <c r="B21" s="204"/>
      <c r="C21" s="204"/>
      <c r="D21" s="119"/>
      <c r="E21" s="121"/>
      <c r="F21" s="121">
        <v>7</v>
      </c>
      <c r="G21" s="209"/>
      <c r="H21" s="212"/>
      <c r="I21" s="209"/>
      <c r="J21" s="212"/>
      <c r="K21" s="209"/>
      <c r="L21" s="212"/>
      <c r="M21" s="209"/>
      <c r="N21" s="211"/>
    </row>
    <row r="22" spans="1:14" s="213" customFormat="1" ht="12.75">
      <c r="A22" s="204" t="s">
        <v>145</v>
      </c>
      <c r="B22" s="204"/>
      <c r="C22" s="204"/>
      <c r="D22" s="119"/>
      <c r="E22" s="121"/>
      <c r="F22" s="121">
        <v>8</v>
      </c>
      <c r="G22" s="209"/>
      <c r="H22" s="212"/>
      <c r="I22" s="209"/>
      <c r="J22" s="212"/>
      <c r="K22" s="209"/>
      <c r="L22" s="212"/>
      <c r="M22" s="209"/>
      <c r="N22" s="211"/>
    </row>
    <row r="23" spans="1:14" s="213" customFormat="1" ht="12.75">
      <c r="A23" s="204" t="s">
        <v>144</v>
      </c>
      <c r="B23" s="204"/>
      <c r="C23" s="204"/>
      <c r="D23" s="119"/>
      <c r="E23" s="121"/>
      <c r="F23" s="121" t="s">
        <v>0</v>
      </c>
      <c r="G23" s="209"/>
      <c r="H23" s="212"/>
      <c r="I23" s="209"/>
      <c r="J23" s="212"/>
      <c r="K23" s="209"/>
      <c r="L23" s="212"/>
      <c r="M23" s="209"/>
      <c r="N23" s="211"/>
    </row>
    <row r="24" spans="1:14" s="213" customFormat="1" ht="12.75">
      <c r="A24" s="204" t="s">
        <v>143</v>
      </c>
      <c r="B24" s="204"/>
      <c r="C24" s="204"/>
      <c r="D24" s="119"/>
      <c r="E24" s="121"/>
      <c r="F24" s="121" t="s">
        <v>33</v>
      </c>
      <c r="G24" s="209"/>
      <c r="H24" s="212"/>
      <c r="I24" s="209"/>
      <c r="J24" s="212"/>
      <c r="K24" s="209"/>
      <c r="L24" s="212"/>
      <c r="M24" s="209"/>
      <c r="N24" s="211"/>
    </row>
    <row r="25" spans="1:13" s="211" customFormat="1" ht="12.75">
      <c r="A25" s="216" t="s">
        <v>142</v>
      </c>
      <c r="B25" s="216"/>
      <c r="C25" s="216"/>
      <c r="D25" s="215"/>
      <c r="E25" s="214"/>
      <c r="F25" s="264" t="s">
        <v>83</v>
      </c>
      <c r="G25" s="209"/>
      <c r="H25" s="212"/>
      <c r="I25" s="209"/>
      <c r="J25" s="212"/>
      <c r="K25" s="209"/>
      <c r="L25" s="212"/>
      <c r="M25" s="209"/>
    </row>
    <row r="26" spans="1:13" s="211" customFormat="1" ht="12.75">
      <c r="A26" s="217" t="s">
        <v>135</v>
      </c>
      <c r="B26" s="208"/>
      <c r="C26" s="208"/>
      <c r="D26" s="118"/>
      <c r="E26" s="120"/>
      <c r="F26" s="265"/>
      <c r="G26" s="209"/>
      <c r="H26" s="212"/>
      <c r="I26" s="209"/>
      <c r="J26" s="212"/>
      <c r="K26" s="209"/>
      <c r="L26" s="212"/>
      <c r="M26" s="209"/>
    </row>
    <row r="27" spans="1:13" s="211" customFormat="1" ht="12.75">
      <c r="A27" s="216" t="s">
        <v>141</v>
      </c>
      <c r="B27" s="216"/>
      <c r="C27" s="216"/>
      <c r="D27" s="215"/>
      <c r="E27" s="214"/>
      <c r="F27" s="264" t="s">
        <v>84</v>
      </c>
      <c r="G27" s="209"/>
      <c r="H27" s="212"/>
      <c r="I27" s="209"/>
      <c r="J27" s="212"/>
      <c r="K27" s="209"/>
      <c r="L27" s="212"/>
      <c r="M27" s="209"/>
    </row>
    <row r="28" spans="1:13" s="211" customFormat="1" ht="12.75">
      <c r="A28" s="208" t="s">
        <v>140</v>
      </c>
      <c r="B28" s="208"/>
      <c r="C28" s="208"/>
      <c r="D28" s="118"/>
      <c r="E28" s="120"/>
      <c r="F28" s="265"/>
      <c r="G28" s="209"/>
      <c r="H28" s="212"/>
      <c r="I28" s="209"/>
      <c r="J28" s="212"/>
      <c r="K28" s="209"/>
      <c r="L28" s="212"/>
      <c r="M28" s="209"/>
    </row>
    <row r="29" spans="1:13" s="211" customFormat="1" ht="12.75">
      <c r="A29" s="216" t="s">
        <v>139</v>
      </c>
      <c r="B29" s="216"/>
      <c r="C29" s="216"/>
      <c r="D29" s="215"/>
      <c r="E29" s="214"/>
      <c r="F29" s="264" t="s">
        <v>85</v>
      </c>
      <c r="G29" s="209"/>
      <c r="H29" s="212"/>
      <c r="I29" s="209"/>
      <c r="J29" s="212"/>
      <c r="K29" s="209"/>
      <c r="L29" s="212"/>
      <c r="M29" s="209"/>
    </row>
    <row r="30" spans="1:13" s="211" customFormat="1" ht="12.75">
      <c r="A30" s="208" t="s">
        <v>138</v>
      </c>
      <c r="B30" s="208"/>
      <c r="C30" s="208"/>
      <c r="D30" s="118"/>
      <c r="E30" s="120"/>
      <c r="F30" s="265"/>
      <c r="G30" s="209"/>
      <c r="H30" s="212"/>
      <c r="I30" s="209"/>
      <c r="J30" s="212"/>
      <c r="K30" s="209"/>
      <c r="L30" s="212"/>
      <c r="M30" s="209"/>
    </row>
    <row r="31" spans="1:13" s="211" customFormat="1" ht="12.75">
      <c r="A31" s="216" t="s">
        <v>137</v>
      </c>
      <c r="B31" s="216"/>
      <c r="C31" s="216"/>
      <c r="D31" s="215"/>
      <c r="E31" s="214"/>
      <c r="F31" s="264" t="s">
        <v>49</v>
      </c>
      <c r="G31" s="209"/>
      <c r="H31" s="212"/>
      <c r="I31" s="209"/>
      <c r="J31" s="212"/>
      <c r="K31" s="209"/>
      <c r="L31" s="212"/>
      <c r="M31" s="209"/>
    </row>
    <row r="32" spans="1:13" s="211" customFormat="1" ht="12.75">
      <c r="A32" s="208" t="s">
        <v>136</v>
      </c>
      <c r="B32" s="208"/>
      <c r="C32" s="208"/>
      <c r="D32" s="118"/>
      <c r="E32" s="120"/>
      <c r="F32" s="265"/>
      <c r="G32" s="209"/>
      <c r="H32" s="212"/>
      <c r="I32" s="209"/>
      <c r="J32" s="212"/>
      <c r="K32" s="209"/>
      <c r="L32" s="212"/>
      <c r="M32" s="209"/>
    </row>
    <row r="33" spans="1:13" s="211" customFormat="1" ht="12.75">
      <c r="A33" s="216" t="s">
        <v>134</v>
      </c>
      <c r="B33" s="216"/>
      <c r="C33" s="216"/>
      <c r="D33" s="215"/>
      <c r="E33" s="214"/>
      <c r="F33" s="264" t="s">
        <v>86</v>
      </c>
      <c r="G33" s="209"/>
      <c r="H33" s="212"/>
      <c r="I33" s="209"/>
      <c r="J33" s="212"/>
      <c r="K33" s="209"/>
      <c r="L33" s="212"/>
      <c r="M33" s="209"/>
    </row>
    <row r="34" spans="1:13" s="211" customFormat="1" ht="12.75">
      <c r="A34" s="208" t="s">
        <v>135</v>
      </c>
      <c r="B34" s="208"/>
      <c r="C34" s="208"/>
      <c r="D34" s="118"/>
      <c r="E34" s="120"/>
      <c r="F34" s="265"/>
      <c r="G34" s="209"/>
      <c r="H34" s="212"/>
      <c r="I34" s="209"/>
      <c r="J34" s="212"/>
      <c r="K34" s="209"/>
      <c r="L34" s="212"/>
      <c r="M34" s="209"/>
    </row>
    <row r="35" spans="1:14" s="213" customFormat="1" ht="12.75">
      <c r="A35" s="216" t="s">
        <v>134</v>
      </c>
      <c r="B35" s="216"/>
      <c r="C35" s="216"/>
      <c r="D35" s="215"/>
      <c r="E35" s="214"/>
      <c r="F35" s="264" t="s">
        <v>20</v>
      </c>
      <c r="G35" s="209"/>
      <c r="H35" s="212"/>
      <c r="I35" s="209"/>
      <c r="J35" s="212"/>
      <c r="K35" s="209"/>
      <c r="L35" s="212"/>
      <c r="M35" s="209"/>
      <c r="N35" s="211"/>
    </row>
    <row r="36" spans="1:14" s="213" customFormat="1" ht="12.75">
      <c r="A36" s="208" t="s">
        <v>133</v>
      </c>
      <c r="B36" s="208"/>
      <c r="C36" s="208"/>
      <c r="D36" s="118"/>
      <c r="E36" s="120"/>
      <c r="F36" s="265"/>
      <c r="G36" s="209"/>
      <c r="H36" s="212"/>
      <c r="I36" s="209"/>
      <c r="J36" s="212"/>
      <c r="K36" s="209"/>
      <c r="L36" s="212"/>
      <c r="M36" s="209"/>
      <c r="N36" s="211"/>
    </row>
    <row r="37" spans="1:13" s="211" customFormat="1" ht="12.75">
      <c r="A37" s="216" t="s">
        <v>132</v>
      </c>
      <c r="B37" s="216"/>
      <c r="C37" s="216"/>
      <c r="D37" s="215"/>
      <c r="E37" s="214"/>
      <c r="F37" s="264" t="s">
        <v>108</v>
      </c>
      <c r="G37" s="209"/>
      <c r="H37" s="212"/>
      <c r="I37" s="209"/>
      <c r="J37" s="212"/>
      <c r="K37" s="209"/>
      <c r="L37" s="212"/>
      <c r="M37" s="209"/>
    </row>
    <row r="38" spans="1:13" s="211" customFormat="1" ht="12.75">
      <c r="A38" s="208" t="s">
        <v>131</v>
      </c>
      <c r="B38" s="208"/>
      <c r="C38" s="208"/>
      <c r="D38" s="118"/>
      <c r="E38" s="120"/>
      <c r="F38" s="265"/>
      <c r="G38" s="209"/>
      <c r="H38" s="212"/>
      <c r="I38" s="209"/>
      <c r="J38" s="212"/>
      <c r="K38" s="209"/>
      <c r="L38" s="212"/>
      <c r="M38" s="209"/>
    </row>
    <row r="39" spans="1:14" s="213" customFormat="1" ht="12.75">
      <c r="A39" s="216" t="s">
        <v>130</v>
      </c>
      <c r="B39" s="216"/>
      <c r="C39" s="216"/>
      <c r="D39" s="215"/>
      <c r="E39" s="214"/>
      <c r="F39" s="264" t="s">
        <v>80</v>
      </c>
      <c r="G39" s="209"/>
      <c r="H39" s="212"/>
      <c r="I39" s="209"/>
      <c r="J39" s="212"/>
      <c r="K39" s="209"/>
      <c r="L39" s="212"/>
      <c r="M39" s="209"/>
      <c r="N39" s="211"/>
    </row>
    <row r="40" spans="1:14" s="213" customFormat="1" ht="12.75">
      <c r="A40" s="208" t="s">
        <v>129</v>
      </c>
      <c r="B40" s="208"/>
      <c r="C40" s="208"/>
      <c r="D40" s="118"/>
      <c r="E40" s="120"/>
      <c r="F40" s="265"/>
      <c r="G40" s="209"/>
      <c r="H40" s="212"/>
      <c r="I40" s="209"/>
      <c r="J40" s="212"/>
      <c r="K40" s="209"/>
      <c r="L40" s="212"/>
      <c r="M40" s="209"/>
      <c r="N40" s="211"/>
    </row>
    <row r="41" spans="1:14" s="213" customFormat="1" ht="12.75">
      <c r="A41" s="216" t="s">
        <v>187</v>
      </c>
      <c r="B41" s="216"/>
      <c r="C41" s="216"/>
      <c r="D41" s="215"/>
      <c r="E41" s="214"/>
      <c r="F41" s="264" t="s">
        <v>163</v>
      </c>
      <c r="G41" s="209"/>
      <c r="H41" s="212"/>
      <c r="I41" s="209"/>
      <c r="J41" s="212"/>
      <c r="K41" s="209"/>
      <c r="L41" s="212"/>
      <c r="M41" s="209"/>
      <c r="N41" s="211"/>
    </row>
    <row r="42" spans="1:14" s="213" customFormat="1" ht="12.75">
      <c r="A42" s="208" t="s">
        <v>186</v>
      </c>
      <c r="B42" s="208"/>
      <c r="C42" s="208"/>
      <c r="D42" s="118"/>
      <c r="E42" s="120"/>
      <c r="F42" s="265"/>
      <c r="G42" s="209"/>
      <c r="H42" s="212"/>
      <c r="I42" s="209"/>
      <c r="J42" s="212"/>
      <c r="K42" s="209"/>
      <c r="L42" s="212"/>
      <c r="M42" s="209"/>
      <c r="N42" s="211"/>
    </row>
    <row r="43" spans="1:14" s="213" customFormat="1" ht="12.75">
      <c r="A43" s="216" t="s">
        <v>189</v>
      </c>
      <c r="B43" s="216"/>
      <c r="C43" s="216"/>
      <c r="D43" s="215"/>
      <c r="E43" s="214"/>
      <c r="F43" s="264" t="s">
        <v>174</v>
      </c>
      <c r="G43" s="209"/>
      <c r="H43" s="212"/>
      <c r="I43" s="209"/>
      <c r="J43" s="212"/>
      <c r="K43" s="209"/>
      <c r="L43" s="212"/>
      <c r="M43" s="209"/>
      <c r="N43" s="211"/>
    </row>
    <row r="44" spans="1:14" s="213" customFormat="1" ht="12.75">
      <c r="A44" s="208" t="s">
        <v>188</v>
      </c>
      <c r="B44" s="208"/>
      <c r="C44" s="208"/>
      <c r="D44" s="118"/>
      <c r="E44" s="120"/>
      <c r="F44" s="265"/>
      <c r="G44" s="209"/>
      <c r="H44" s="212"/>
      <c r="I44" s="209"/>
      <c r="J44" s="212"/>
      <c r="K44" s="209"/>
      <c r="L44" s="212"/>
      <c r="M44" s="209"/>
      <c r="N44" s="211"/>
    </row>
    <row r="45" spans="1:14" s="213" customFormat="1" ht="12.75">
      <c r="A45" s="216" t="s">
        <v>191</v>
      </c>
      <c r="B45" s="216"/>
      <c r="C45" s="216"/>
      <c r="D45" s="215"/>
      <c r="E45" s="214"/>
      <c r="F45" s="264" t="s">
        <v>175</v>
      </c>
      <c r="G45" s="209"/>
      <c r="H45" s="212"/>
      <c r="I45" s="209"/>
      <c r="J45" s="212"/>
      <c r="K45" s="209"/>
      <c r="L45" s="212"/>
      <c r="M45" s="209"/>
      <c r="N45" s="211"/>
    </row>
    <row r="46" spans="1:14" s="213" customFormat="1" ht="12.75">
      <c r="A46" s="208" t="s">
        <v>190</v>
      </c>
      <c r="B46" s="208"/>
      <c r="C46" s="208"/>
      <c r="D46" s="118"/>
      <c r="E46" s="120"/>
      <c r="F46" s="265"/>
      <c r="G46" s="209"/>
      <c r="H46" s="212"/>
      <c r="I46" s="209"/>
      <c r="J46" s="212"/>
      <c r="K46" s="209"/>
      <c r="L46" s="212"/>
      <c r="M46" s="209"/>
      <c r="N46" s="211"/>
    </row>
    <row r="47" spans="1:14" s="213" customFormat="1" ht="15.75">
      <c r="A47" s="184" t="s">
        <v>128</v>
      </c>
      <c r="B47" s="211"/>
      <c r="C47" s="211"/>
      <c r="D47" s="116"/>
      <c r="E47" s="117"/>
      <c r="F47" s="117"/>
      <c r="G47" s="209"/>
      <c r="H47" s="212"/>
      <c r="I47" s="209"/>
      <c r="J47" s="212"/>
      <c r="K47" s="209"/>
      <c r="L47" s="212"/>
      <c r="M47" s="209"/>
      <c r="N47" s="211"/>
    </row>
    <row r="48" spans="1:14" s="213" customFormat="1" ht="12.75">
      <c r="A48" s="208" t="s">
        <v>127</v>
      </c>
      <c r="B48" s="208"/>
      <c r="C48" s="208"/>
      <c r="D48" s="118"/>
      <c r="E48" s="120"/>
      <c r="F48" s="120"/>
      <c r="G48" s="120" t="s">
        <v>0</v>
      </c>
      <c r="H48" s="212"/>
      <c r="I48" s="209"/>
      <c r="J48" s="212"/>
      <c r="K48" s="209"/>
      <c r="L48" s="212"/>
      <c r="M48" s="209"/>
      <c r="N48" s="211"/>
    </row>
    <row r="49" spans="1:14" s="213" customFormat="1" ht="12.75">
      <c r="A49" s="204" t="s">
        <v>126</v>
      </c>
      <c r="B49" s="204"/>
      <c r="C49" s="204"/>
      <c r="D49" s="119"/>
      <c r="E49" s="121"/>
      <c r="F49" s="121"/>
      <c r="G49" s="121" t="s">
        <v>33</v>
      </c>
      <c r="H49" s="212"/>
      <c r="I49" s="209"/>
      <c r="J49" s="212"/>
      <c r="K49" s="209"/>
      <c r="L49" s="212"/>
      <c r="M49" s="209"/>
      <c r="N49" s="211"/>
    </row>
    <row r="50" spans="1:14" s="213" customFormat="1" ht="12.75">
      <c r="A50" s="204" t="s">
        <v>125</v>
      </c>
      <c r="B50" s="204"/>
      <c r="C50" s="204"/>
      <c r="D50" s="119"/>
      <c r="E50" s="121"/>
      <c r="F50" s="121"/>
      <c r="G50" s="121" t="s">
        <v>31</v>
      </c>
      <c r="H50" s="212"/>
      <c r="I50" s="209"/>
      <c r="J50" s="212"/>
      <c r="K50" s="209"/>
      <c r="L50" s="212"/>
      <c r="M50" s="209"/>
      <c r="N50" s="211"/>
    </row>
    <row r="51" spans="1:14" s="213" customFormat="1" ht="12.75">
      <c r="A51" s="204" t="s">
        <v>124</v>
      </c>
      <c r="B51" s="204"/>
      <c r="C51" s="204"/>
      <c r="D51" s="119"/>
      <c r="E51" s="121"/>
      <c r="F51" s="121"/>
      <c r="G51" s="121" t="s">
        <v>34</v>
      </c>
      <c r="H51" s="212"/>
      <c r="I51" s="209"/>
      <c r="J51" s="212"/>
      <c r="K51" s="209"/>
      <c r="L51" s="212"/>
      <c r="M51" s="209"/>
      <c r="N51" s="211"/>
    </row>
    <row r="52" spans="1:14" s="213" customFormat="1" ht="12.75">
      <c r="A52" s="204" t="s">
        <v>123</v>
      </c>
      <c r="B52" s="204"/>
      <c r="C52" s="204"/>
      <c r="D52" s="119"/>
      <c r="E52" s="121"/>
      <c r="F52" s="121"/>
      <c r="G52" s="121" t="s">
        <v>48</v>
      </c>
      <c r="H52" s="212"/>
      <c r="I52" s="209"/>
      <c r="J52" s="212"/>
      <c r="K52" s="209"/>
      <c r="L52" s="212"/>
      <c r="M52" s="209"/>
      <c r="N52" s="211"/>
    </row>
    <row r="53" spans="1:14" s="213" customFormat="1" ht="12.75">
      <c r="A53" s="204" t="s">
        <v>122</v>
      </c>
      <c r="B53" s="204"/>
      <c r="C53" s="204"/>
      <c r="D53" s="119"/>
      <c r="E53" s="121"/>
      <c r="F53" s="121"/>
      <c r="G53" s="121" t="s">
        <v>67</v>
      </c>
      <c r="H53" s="212"/>
      <c r="I53" s="209"/>
      <c r="J53" s="212"/>
      <c r="K53" s="209"/>
      <c r="L53" s="212"/>
      <c r="M53" s="209"/>
      <c r="N53" s="211"/>
    </row>
    <row r="54" spans="1:14" s="213" customFormat="1" ht="15.75">
      <c r="A54" s="184" t="s">
        <v>121</v>
      </c>
      <c r="B54" s="211"/>
      <c r="C54" s="211"/>
      <c r="D54" s="116"/>
      <c r="E54" s="117"/>
      <c r="F54" s="117"/>
      <c r="G54" s="117"/>
      <c r="H54" s="212"/>
      <c r="I54" s="209"/>
      <c r="J54" s="212"/>
      <c r="K54" s="209"/>
      <c r="L54" s="212"/>
      <c r="M54" s="209"/>
      <c r="N54" s="211"/>
    </row>
    <row r="55" spans="1:14" s="213" customFormat="1" ht="12.75">
      <c r="A55" s="208" t="s">
        <v>35</v>
      </c>
      <c r="B55" s="208"/>
      <c r="C55" s="208"/>
      <c r="D55" s="118"/>
      <c r="E55" s="120"/>
      <c r="F55" s="120"/>
      <c r="G55" s="120"/>
      <c r="H55" s="120">
        <v>1</v>
      </c>
      <c r="I55" s="209"/>
      <c r="J55" s="212"/>
      <c r="K55" s="209"/>
      <c r="L55" s="212"/>
      <c r="M55" s="209"/>
      <c r="N55" s="211"/>
    </row>
    <row r="56" spans="1:14" s="213" customFormat="1" ht="12.75">
      <c r="A56" s="204" t="s">
        <v>36</v>
      </c>
      <c r="B56" s="204"/>
      <c r="C56" s="204"/>
      <c r="D56" s="119"/>
      <c r="E56" s="121"/>
      <c r="F56" s="121"/>
      <c r="G56" s="121"/>
      <c r="H56" s="121">
        <v>2</v>
      </c>
      <c r="I56" s="209"/>
      <c r="J56" s="212"/>
      <c r="K56" s="209"/>
      <c r="L56" s="212"/>
      <c r="M56" s="209"/>
      <c r="N56" s="211"/>
    </row>
    <row r="57" spans="1:14" s="213" customFormat="1" ht="12.75">
      <c r="A57" s="204" t="s">
        <v>37</v>
      </c>
      <c r="B57" s="204"/>
      <c r="C57" s="204"/>
      <c r="D57" s="119"/>
      <c r="E57" s="121"/>
      <c r="F57" s="121"/>
      <c r="G57" s="121"/>
      <c r="H57" s="121">
        <v>3</v>
      </c>
      <c r="I57" s="209"/>
      <c r="J57" s="212"/>
      <c r="K57" s="209"/>
      <c r="L57" s="212"/>
      <c r="M57" s="209"/>
      <c r="N57" s="211"/>
    </row>
    <row r="58" spans="1:14" s="213" customFormat="1" ht="12.75">
      <c r="A58" s="204" t="s">
        <v>38</v>
      </c>
      <c r="B58" s="204"/>
      <c r="C58" s="204"/>
      <c r="D58" s="119"/>
      <c r="E58" s="121"/>
      <c r="F58" s="121"/>
      <c r="G58" s="121"/>
      <c r="H58" s="121">
        <v>4</v>
      </c>
      <c r="I58" s="209"/>
      <c r="J58" s="212"/>
      <c r="K58" s="209"/>
      <c r="L58" s="212"/>
      <c r="M58" s="209"/>
      <c r="N58" s="211"/>
    </row>
    <row r="59" spans="1:14" s="213" customFormat="1" ht="12.75">
      <c r="A59" s="216" t="s">
        <v>193</v>
      </c>
      <c r="B59" s="216"/>
      <c r="C59" s="216"/>
      <c r="D59" s="215"/>
      <c r="E59" s="214"/>
      <c r="F59" s="214"/>
      <c r="G59" s="214"/>
      <c r="H59" s="264">
        <v>6</v>
      </c>
      <c r="I59" s="209"/>
      <c r="J59" s="212"/>
      <c r="K59" s="209"/>
      <c r="L59" s="212"/>
      <c r="M59" s="209"/>
      <c r="N59" s="211"/>
    </row>
    <row r="60" spans="1:14" s="213" customFormat="1" ht="12.75">
      <c r="A60" s="208" t="s">
        <v>192</v>
      </c>
      <c r="B60" s="208"/>
      <c r="C60" s="208"/>
      <c r="D60" s="118"/>
      <c r="E60" s="120"/>
      <c r="F60" s="120"/>
      <c r="G60" s="120"/>
      <c r="H60" s="265"/>
      <c r="I60" s="209"/>
      <c r="J60" s="212"/>
      <c r="K60" s="209"/>
      <c r="L60" s="212"/>
      <c r="M60" s="209"/>
      <c r="N60" s="211"/>
    </row>
    <row r="61" spans="1:14" s="213" customFormat="1" ht="12.75">
      <c r="A61" s="204" t="s">
        <v>120</v>
      </c>
      <c r="B61" s="204"/>
      <c r="C61" s="204"/>
      <c r="D61" s="119"/>
      <c r="E61" s="121"/>
      <c r="F61" s="121"/>
      <c r="G61" s="121"/>
      <c r="H61" s="121">
        <v>8</v>
      </c>
      <c r="I61" s="209"/>
      <c r="J61" s="212"/>
      <c r="K61" s="209"/>
      <c r="L61" s="212"/>
      <c r="M61" s="209"/>
      <c r="N61" s="211"/>
    </row>
    <row r="62" spans="1:14" s="213" customFormat="1" ht="12.75">
      <c r="A62" s="204" t="s">
        <v>194</v>
      </c>
      <c r="B62" s="204"/>
      <c r="C62" s="204"/>
      <c r="D62" s="119"/>
      <c r="E62" s="121"/>
      <c r="F62" s="121"/>
      <c r="G62" s="121"/>
      <c r="H62" s="121">
        <v>9</v>
      </c>
      <c r="I62" s="209"/>
      <c r="J62" s="212"/>
      <c r="K62" s="209"/>
      <c r="L62" s="212"/>
      <c r="M62" s="209"/>
      <c r="N62" s="211"/>
    </row>
    <row r="63" spans="1:14" ht="15.75">
      <c r="A63" s="184" t="s">
        <v>119</v>
      </c>
      <c r="B63" s="211"/>
      <c r="C63" s="211"/>
      <c r="D63" s="116"/>
      <c r="E63" s="117"/>
      <c r="F63" s="117"/>
      <c r="G63" s="117"/>
      <c r="H63" s="117"/>
      <c r="I63" s="209"/>
      <c r="J63" s="212"/>
      <c r="K63" s="209"/>
      <c r="L63" s="212"/>
      <c r="M63" s="209"/>
      <c r="N63" s="3"/>
    </row>
    <row r="64" spans="1:14" ht="12.75">
      <c r="A64" s="122" t="s">
        <v>118</v>
      </c>
      <c r="B64" s="208"/>
      <c r="C64" s="208"/>
      <c r="D64" s="118"/>
      <c r="E64" s="120"/>
      <c r="F64" s="120"/>
      <c r="G64" s="120"/>
      <c r="H64" s="120"/>
      <c r="I64" s="120" t="s">
        <v>20</v>
      </c>
      <c r="J64" s="212"/>
      <c r="K64" s="209"/>
      <c r="L64" s="212"/>
      <c r="M64" s="209"/>
      <c r="N64" s="3"/>
    </row>
    <row r="65" spans="1:14" ht="15.75">
      <c r="A65" s="184" t="s">
        <v>117</v>
      </c>
      <c r="B65" s="211"/>
      <c r="C65" s="211"/>
      <c r="D65" s="116"/>
      <c r="E65" s="117"/>
      <c r="F65" s="117"/>
      <c r="G65" s="117"/>
      <c r="H65" s="117"/>
      <c r="I65" s="117"/>
      <c r="J65" s="212"/>
      <c r="K65" s="209"/>
      <c r="L65" s="212"/>
      <c r="M65" s="209"/>
      <c r="N65" s="3"/>
    </row>
    <row r="66" spans="1:14" ht="12.75">
      <c r="A66" s="208" t="s">
        <v>116</v>
      </c>
      <c r="B66" s="208"/>
      <c r="C66" s="208"/>
      <c r="D66" s="118"/>
      <c r="E66" s="120"/>
      <c r="F66" s="120"/>
      <c r="G66" s="120"/>
      <c r="H66" s="120"/>
      <c r="I66" s="120"/>
      <c r="J66" s="120">
        <v>0</v>
      </c>
      <c r="K66" s="209"/>
      <c r="L66" s="212"/>
      <c r="M66" s="209"/>
      <c r="N66" s="3"/>
    </row>
    <row r="67" spans="1:14" ht="12.75">
      <c r="A67" s="204" t="s">
        <v>115</v>
      </c>
      <c r="B67" s="204"/>
      <c r="C67" s="204"/>
      <c r="D67" s="119"/>
      <c r="E67" s="121"/>
      <c r="F67" s="121"/>
      <c r="G67" s="121"/>
      <c r="H67" s="121"/>
      <c r="I67" s="121"/>
      <c r="J67" s="121">
        <v>5</v>
      </c>
      <c r="K67" s="209"/>
      <c r="L67" s="212"/>
      <c r="M67" s="209"/>
      <c r="N67" s="3"/>
    </row>
    <row r="68" spans="1:14" ht="12.75">
      <c r="A68" s="204" t="s">
        <v>114</v>
      </c>
      <c r="B68" s="204"/>
      <c r="C68" s="204"/>
      <c r="D68" s="119"/>
      <c r="E68" s="121"/>
      <c r="F68" s="121"/>
      <c r="G68" s="121"/>
      <c r="H68" s="121"/>
      <c r="I68" s="121"/>
      <c r="J68" s="121" t="s">
        <v>31</v>
      </c>
      <c r="K68" s="209"/>
      <c r="L68" s="212"/>
      <c r="M68" s="209"/>
      <c r="N68" s="3"/>
    </row>
    <row r="69" spans="1:14" ht="15.75">
      <c r="A69" s="184" t="s">
        <v>113</v>
      </c>
      <c r="B69" s="211"/>
      <c r="C69" s="211"/>
      <c r="D69" s="116"/>
      <c r="E69" s="116"/>
      <c r="F69" s="116"/>
      <c r="G69" s="116"/>
      <c r="H69" s="116"/>
      <c r="I69" s="116"/>
      <c r="J69" s="116"/>
      <c r="K69" s="209"/>
      <c r="L69" s="212"/>
      <c r="M69" s="209"/>
      <c r="N69" s="3"/>
    </row>
    <row r="70" spans="1:14" ht="12.75">
      <c r="A70" s="208"/>
      <c r="B70" s="208"/>
      <c r="C70" s="208"/>
      <c r="D70" s="118"/>
      <c r="E70" s="118"/>
      <c r="F70" s="118"/>
      <c r="G70" s="118"/>
      <c r="H70" s="118"/>
      <c r="I70" s="118"/>
      <c r="J70" s="118"/>
      <c r="K70" s="123" t="s">
        <v>18</v>
      </c>
      <c r="L70" s="212"/>
      <c r="M70" s="209"/>
      <c r="N70" s="3"/>
    </row>
    <row r="71" spans="1:13" ht="15.75">
      <c r="A71" s="184" t="s">
        <v>112</v>
      </c>
      <c r="B71" s="211"/>
      <c r="C71" s="211"/>
      <c r="D71" s="116"/>
      <c r="E71" s="116"/>
      <c r="F71" s="116"/>
      <c r="G71" s="116"/>
      <c r="H71" s="116"/>
      <c r="I71" s="116"/>
      <c r="J71" s="116"/>
      <c r="K71" s="116"/>
      <c r="L71" s="212"/>
      <c r="M71" s="209"/>
    </row>
    <row r="72" spans="1:13" ht="12.75">
      <c r="A72" s="208" t="s">
        <v>111</v>
      </c>
      <c r="B72" s="208"/>
      <c r="C72" s="208"/>
      <c r="D72" s="118"/>
      <c r="E72" s="118"/>
      <c r="F72" s="118"/>
      <c r="G72" s="118"/>
      <c r="H72" s="118"/>
      <c r="I72" s="118"/>
      <c r="J72" s="118"/>
      <c r="K72" s="118"/>
      <c r="L72" s="120">
        <v>8</v>
      </c>
      <c r="M72" s="209"/>
    </row>
    <row r="73" spans="1:13" ht="12.75">
      <c r="A73" s="204" t="s">
        <v>110</v>
      </c>
      <c r="B73" s="204"/>
      <c r="C73" s="204"/>
      <c r="D73" s="119"/>
      <c r="E73" s="119"/>
      <c r="F73" s="119"/>
      <c r="G73" s="119"/>
      <c r="H73" s="119"/>
      <c r="I73" s="119"/>
      <c r="J73" s="119"/>
      <c r="K73" s="119"/>
      <c r="L73" s="119">
        <v>9</v>
      </c>
      <c r="M73" s="209"/>
    </row>
    <row r="74" spans="1:13" ht="15.75">
      <c r="A74" s="184" t="s">
        <v>109</v>
      </c>
      <c r="B74" s="211"/>
      <c r="C74" s="211"/>
      <c r="D74" s="116"/>
      <c r="E74" s="116"/>
      <c r="F74" s="116"/>
      <c r="G74" s="116"/>
      <c r="H74" s="116"/>
      <c r="I74" s="116"/>
      <c r="J74" s="116"/>
      <c r="K74" s="116"/>
      <c r="L74" s="210"/>
      <c r="M74" s="209"/>
    </row>
    <row r="75" spans="1:13" ht="12.75">
      <c r="A75" s="208" t="s">
        <v>166</v>
      </c>
      <c r="B75" s="208"/>
      <c r="C75" s="208"/>
      <c r="D75" s="118"/>
      <c r="E75" s="118"/>
      <c r="F75" s="118"/>
      <c r="G75" s="118"/>
      <c r="H75" s="118"/>
      <c r="I75" s="118"/>
      <c r="J75" s="118"/>
      <c r="K75" s="118"/>
      <c r="L75" s="118"/>
      <c r="M75" s="118" t="s">
        <v>20</v>
      </c>
    </row>
    <row r="76" spans="1:13" ht="12.75">
      <c r="A76" s="208" t="s">
        <v>165</v>
      </c>
      <c r="B76" s="208"/>
      <c r="C76" s="208"/>
      <c r="D76" s="118"/>
      <c r="E76" s="118"/>
      <c r="F76" s="118"/>
      <c r="G76" s="118"/>
      <c r="H76" s="118"/>
      <c r="I76" s="118"/>
      <c r="J76" s="118"/>
      <c r="K76" s="118"/>
      <c r="L76" s="118"/>
      <c r="M76" s="118" t="s">
        <v>49</v>
      </c>
    </row>
    <row r="77" spans="1:13" ht="12.75">
      <c r="A77" s="3"/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3"/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3"/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sheetProtection password="DFED" sheet="1"/>
  <mergeCells count="13">
    <mergeCell ref="F41:F42"/>
    <mergeCell ref="F43:F44"/>
    <mergeCell ref="F45:F46"/>
    <mergeCell ref="B5:M5"/>
    <mergeCell ref="H59:H60"/>
    <mergeCell ref="F25:F26"/>
    <mergeCell ref="F27:F28"/>
    <mergeCell ref="F29:F30"/>
    <mergeCell ref="F31:F32"/>
    <mergeCell ref="F33:F34"/>
    <mergeCell ref="F35:F36"/>
    <mergeCell ref="F37:F38"/>
    <mergeCell ref="F39:F40"/>
  </mergeCells>
  <printOptions/>
  <pageMargins left="0.75" right="0.75" top="0.48" bottom="1" header="0.47" footer="0.5"/>
  <pageSetup fitToHeight="1" fitToWidth="1" horizontalDpi="600" verticalDpi="600" orientation="portrait" paperSize="9" scale="86" r:id="rId2"/>
  <headerFooter alignWithMargins="0">
    <oddFooter>&amp;L&amp;D&amp;R&amp;G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35"/>
  <sheetViews>
    <sheetView showGridLines="0" showRowColHeaders="0" zoomScalePageLayoutView="0" workbookViewId="0" topLeftCell="A1">
      <pane ySplit="8" topLeftCell="A9" activePane="bottomLeft" state="frozen"/>
      <selection pane="topLeft" activeCell="A1" sqref="A1"/>
      <selection pane="bottomLeft" activeCell="M14" sqref="M14"/>
    </sheetView>
  </sheetViews>
  <sheetFormatPr defaultColWidth="9.140625" defaultRowHeight="12"/>
  <cols>
    <col min="1" max="6" width="10.7109375" style="19" customWidth="1"/>
    <col min="7" max="7" width="9.8515625" style="19" customWidth="1"/>
    <col min="8" max="8" width="10.421875" style="19" bestFit="1" customWidth="1"/>
    <col min="9" max="15" width="5.00390625" style="19" customWidth="1"/>
    <col min="16" max="16" width="7.00390625" style="19" customWidth="1"/>
    <col min="17" max="19" width="5.00390625" style="19" customWidth="1"/>
    <col min="20" max="16384" width="9.28125" style="19" customWidth="1"/>
  </cols>
  <sheetData>
    <row r="1" spans="1:19" ht="15.75" hidden="1" thickTop="1">
      <c r="A1" s="16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8"/>
    </row>
    <row r="2" spans="1:19" ht="15.75" hidden="1" thickBot="1">
      <c r="A2" s="9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1:19" ht="15.75" hidden="1" thickBot="1">
      <c r="A3" s="266"/>
      <c r="B3" s="267"/>
      <c r="C3" s="267"/>
      <c r="D3" s="267"/>
      <c r="E3" s="267"/>
      <c r="F3" s="268"/>
      <c r="G3" s="10" t="s">
        <v>11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1"/>
    </row>
    <row r="4" spans="1:16" ht="24">
      <c r="A4" s="236" t="s">
        <v>158</v>
      </c>
      <c r="B4" s="179"/>
      <c r="C4" s="179"/>
      <c r="D4" s="179"/>
      <c r="E4" s="179"/>
      <c r="F4" s="179"/>
      <c r="G4" s="179"/>
      <c r="H4" s="179"/>
      <c r="I4" s="179"/>
      <c r="J4" s="179"/>
      <c r="K4" s="180" t="s">
        <v>89</v>
      </c>
      <c r="L4" s="49"/>
      <c r="M4" s="49"/>
      <c r="N4" s="179"/>
      <c r="O4" s="179"/>
      <c r="P4" s="179"/>
    </row>
    <row r="5" spans="1:17" ht="18.75">
      <c r="A5" s="49"/>
      <c r="B5" s="179"/>
      <c r="C5" s="179"/>
      <c r="D5" s="179"/>
      <c r="E5" s="179"/>
      <c r="F5" s="179"/>
      <c r="G5" s="179"/>
      <c r="H5" s="179"/>
      <c r="I5" s="179"/>
      <c r="J5" s="179"/>
      <c r="K5" s="237" t="s">
        <v>157</v>
      </c>
      <c r="L5" s="49"/>
      <c r="M5" s="49"/>
      <c r="N5" s="179"/>
      <c r="O5" s="179"/>
      <c r="P5" s="179"/>
      <c r="Q5" s="20"/>
    </row>
    <row r="6" spans="1:20" ht="15">
      <c r="A6" s="181"/>
      <c r="B6" s="168"/>
      <c r="C6" s="168"/>
      <c r="D6" s="168"/>
      <c r="E6" s="168"/>
      <c r="F6" s="168"/>
      <c r="G6" s="16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4.25">
      <c r="A7" s="173"/>
      <c r="B7" s="22"/>
      <c r="C7" s="22"/>
      <c r="D7" s="22"/>
      <c r="E7" s="22"/>
      <c r="F7" s="22"/>
      <c r="G7" s="174"/>
      <c r="H7" s="174" t="s">
        <v>10</v>
      </c>
      <c r="I7" s="175">
        <v>5</v>
      </c>
      <c r="J7" s="175">
        <v>6</v>
      </c>
      <c r="K7" s="176">
        <v>7</v>
      </c>
      <c r="L7" s="176">
        <v>8</v>
      </c>
      <c r="M7" s="175">
        <v>9</v>
      </c>
      <c r="N7" s="175">
        <v>10</v>
      </c>
      <c r="O7" s="175">
        <v>11</v>
      </c>
      <c r="P7" s="177" t="s">
        <v>21</v>
      </c>
      <c r="Q7" s="175">
        <v>14</v>
      </c>
      <c r="R7" s="178">
        <v>15</v>
      </c>
      <c r="S7" s="165"/>
      <c r="T7" s="20"/>
    </row>
    <row r="8" spans="1:20" s="30" customFormat="1" ht="18" customHeight="1" thickBot="1">
      <c r="A8" s="238" t="s">
        <v>156</v>
      </c>
      <c r="B8" s="239"/>
      <c r="C8" s="239"/>
      <c r="D8" s="239"/>
      <c r="E8" s="239"/>
      <c r="F8" s="239"/>
      <c r="G8" s="240"/>
      <c r="H8" s="170" t="s">
        <v>41</v>
      </c>
      <c r="I8" s="171">
        <f>$H$14</f>
        <v>9</v>
      </c>
      <c r="J8" s="171" t="str">
        <f>$H$16</f>
        <v>1</v>
      </c>
      <c r="K8" s="171">
        <f>$K$18</f>
        <v>1</v>
      </c>
      <c r="L8" s="171" t="str">
        <f>$H$20</f>
        <v>A</v>
      </c>
      <c r="M8" s="171">
        <f>$H$22</f>
        <v>1</v>
      </c>
      <c r="N8" s="170" t="str">
        <f>$H$24</f>
        <v>M</v>
      </c>
      <c r="O8" s="172">
        <f>$H$26</f>
        <v>0</v>
      </c>
      <c r="P8" s="172" t="str">
        <f>$H$12</f>
        <v>B1</v>
      </c>
      <c r="Q8" s="172">
        <f>$H$28</f>
        <v>8</v>
      </c>
      <c r="R8" s="172" t="str">
        <f>$H$10</f>
        <v>M</v>
      </c>
      <c r="S8" s="166"/>
      <c r="T8" s="167"/>
    </row>
    <row r="9" spans="1:20" ht="15.75" customHeight="1">
      <c r="A9" s="24" t="s">
        <v>109</v>
      </c>
      <c r="B9" s="64"/>
      <c r="C9" s="22"/>
      <c r="D9" s="22"/>
      <c r="E9" s="22"/>
      <c r="F9" s="22"/>
      <c r="G9" s="23"/>
      <c r="H9" s="148"/>
      <c r="I9" s="128"/>
      <c r="J9" s="148"/>
      <c r="K9" s="132"/>
      <c r="L9" s="148"/>
      <c r="M9" s="139"/>
      <c r="N9" s="160"/>
      <c r="O9" s="145"/>
      <c r="P9" s="157"/>
      <c r="Q9" s="161"/>
      <c r="R9" s="147"/>
      <c r="S9" s="20"/>
      <c r="T9" s="20"/>
    </row>
    <row r="10" spans="1:20" ht="22.5" customHeight="1">
      <c r="A10" s="24"/>
      <c r="B10" s="22"/>
      <c r="C10" s="22"/>
      <c r="D10" s="22"/>
      <c r="E10" s="22"/>
      <c r="F10" s="22"/>
      <c r="G10" s="23"/>
      <c r="H10" s="125" t="str">
        <f>VLOOKUP(Tendering!$B$17,Database!$A$60:$C$60,3)</f>
        <v>M</v>
      </c>
      <c r="I10" s="146"/>
      <c r="J10" s="138"/>
      <c r="K10" s="138"/>
      <c r="L10" s="138"/>
      <c r="M10" s="138"/>
      <c r="N10" s="138"/>
      <c r="O10" s="138"/>
      <c r="P10" s="138"/>
      <c r="Q10" s="138"/>
      <c r="R10" s="135"/>
      <c r="S10" s="20"/>
      <c r="T10" s="20"/>
    </row>
    <row r="11" spans="1:20" ht="15" customHeight="1">
      <c r="A11" s="109" t="s">
        <v>113</v>
      </c>
      <c r="B11" s="66"/>
      <c r="C11" s="25"/>
      <c r="D11" s="25"/>
      <c r="E11" s="25"/>
      <c r="F11" s="25"/>
      <c r="G11" s="26"/>
      <c r="H11" s="153"/>
      <c r="I11" s="154"/>
      <c r="J11" s="154"/>
      <c r="K11" s="154"/>
      <c r="L11" s="154"/>
      <c r="M11" s="154"/>
      <c r="N11" s="154"/>
      <c r="O11" s="154"/>
      <c r="P11" s="155"/>
      <c r="Q11" s="155"/>
      <c r="R11" s="164"/>
      <c r="S11" s="20"/>
      <c r="T11" s="20"/>
    </row>
    <row r="12" spans="1:20" ht="42.75" customHeight="1">
      <c r="A12" s="65"/>
      <c r="B12" s="64"/>
      <c r="C12" s="22"/>
      <c r="D12" s="22"/>
      <c r="E12" s="22"/>
      <c r="F12" s="22"/>
      <c r="G12" s="23"/>
      <c r="H12" s="126" t="str">
        <f>VLOOKUP(Tendering!$B$15,Database!$A$50:$C$53,3)</f>
        <v>B1</v>
      </c>
      <c r="I12" s="156"/>
      <c r="J12" s="269" t="str">
        <f>VLOOKUP($H$12,Database!$C$50:$D$53,2,FALSE)</f>
        <v> </v>
      </c>
      <c r="K12" s="270"/>
      <c r="L12" s="270"/>
      <c r="M12" s="270"/>
      <c r="N12" s="270"/>
      <c r="O12" s="270"/>
      <c r="P12" s="271"/>
      <c r="Q12" s="162"/>
      <c r="R12" s="68"/>
      <c r="S12" s="20"/>
      <c r="T12" s="20"/>
    </row>
    <row r="13" spans="1:20" ht="15">
      <c r="A13" s="110" t="s">
        <v>154</v>
      </c>
      <c r="B13" s="62"/>
      <c r="C13" s="20"/>
      <c r="D13" s="20"/>
      <c r="E13" s="20"/>
      <c r="F13" s="20"/>
      <c r="G13" s="20"/>
      <c r="H13" s="129"/>
      <c r="I13" s="130"/>
      <c r="J13" s="149"/>
      <c r="K13" s="133"/>
      <c r="L13" s="149"/>
      <c r="M13" s="140"/>
      <c r="N13" s="155"/>
      <c r="O13" s="134"/>
      <c r="P13" s="68"/>
      <c r="Q13" s="150"/>
      <c r="R13" s="68"/>
      <c r="S13" s="20"/>
      <c r="T13" s="20"/>
    </row>
    <row r="14" spans="1:20" ht="33" customHeight="1">
      <c r="A14" s="63"/>
      <c r="B14" s="62"/>
      <c r="C14" s="20"/>
      <c r="D14" s="20"/>
      <c r="E14" s="20"/>
      <c r="F14" s="20"/>
      <c r="G14" s="20"/>
      <c r="H14" s="127">
        <f>VLOOKUP(Tendering!$B$9,Database!$A$2:$C$4,3,FALSE)</f>
        <v>9</v>
      </c>
      <c r="I14" s="131"/>
      <c r="J14" s="149"/>
      <c r="K14" s="133"/>
      <c r="L14" s="149"/>
      <c r="M14" s="140"/>
      <c r="N14" s="155"/>
      <c r="O14" s="134"/>
      <c r="P14" s="68"/>
      <c r="Q14" s="155"/>
      <c r="R14" s="68"/>
      <c r="S14" s="20"/>
      <c r="T14" s="20"/>
    </row>
    <row r="15" spans="1:20" ht="15.75" customHeight="1">
      <c r="A15" s="24" t="s">
        <v>153</v>
      </c>
      <c r="B15" s="64"/>
      <c r="C15" s="22"/>
      <c r="D15" s="22"/>
      <c r="E15" s="22"/>
      <c r="F15" s="22"/>
      <c r="G15" s="23"/>
      <c r="H15" s="152"/>
      <c r="I15" s="150"/>
      <c r="J15" s="150"/>
      <c r="K15" s="133"/>
      <c r="L15" s="149"/>
      <c r="M15" s="140"/>
      <c r="N15" s="155"/>
      <c r="O15" s="134"/>
      <c r="P15" s="68"/>
      <c r="Q15" s="155"/>
      <c r="R15" s="68"/>
      <c r="S15" s="20"/>
      <c r="T15" s="20"/>
    </row>
    <row r="16" spans="1:20" ht="24" customHeight="1">
      <c r="A16" s="65"/>
      <c r="B16" s="64"/>
      <c r="C16" s="22"/>
      <c r="D16" s="22"/>
      <c r="E16" s="22"/>
      <c r="F16" s="22"/>
      <c r="G16" s="23"/>
      <c r="H16" s="127" t="str">
        <f>VLOOKUP(Tendering!$B$10,Database!$A$7:$C$8,3)</f>
        <v>1</v>
      </c>
      <c r="I16" s="150"/>
      <c r="J16" s="151"/>
      <c r="K16" s="133"/>
      <c r="L16" s="149"/>
      <c r="M16" s="140"/>
      <c r="N16" s="155"/>
      <c r="O16" s="134"/>
      <c r="P16" s="68"/>
      <c r="Q16" s="155"/>
      <c r="R16" s="68"/>
      <c r="S16" s="20"/>
      <c r="T16" s="20"/>
    </row>
    <row r="17" spans="1:20" ht="15.75" customHeight="1">
      <c r="A17" s="110" t="s">
        <v>152</v>
      </c>
      <c r="B17" s="62"/>
      <c r="C17" s="20"/>
      <c r="D17" s="20"/>
      <c r="E17" s="20"/>
      <c r="F17" s="20"/>
      <c r="G17" s="20"/>
      <c r="H17" s="136"/>
      <c r="I17" s="137"/>
      <c r="J17" s="137"/>
      <c r="K17" s="134"/>
      <c r="L17" s="149"/>
      <c r="M17" s="140"/>
      <c r="N17" s="155"/>
      <c r="O17" s="134"/>
      <c r="P17" s="68"/>
      <c r="Q17" s="155"/>
      <c r="R17" s="68"/>
      <c r="S17" s="20"/>
      <c r="T17" s="20"/>
    </row>
    <row r="18" spans="1:20" ht="168" customHeight="1">
      <c r="A18" s="63"/>
      <c r="B18" s="62"/>
      <c r="C18" s="20"/>
      <c r="D18" s="20"/>
      <c r="E18" s="20"/>
      <c r="F18" s="20"/>
      <c r="G18" s="20"/>
      <c r="I18" s="133"/>
      <c r="J18" s="138"/>
      <c r="K18" s="127">
        <f>VLOOKUP(Tendering!$B$11,Database!$A$11:$C$27,3)</f>
        <v>1</v>
      </c>
      <c r="L18" s="149"/>
      <c r="M18" s="140"/>
      <c r="N18" s="155"/>
      <c r="O18" s="134"/>
      <c r="P18" s="68"/>
      <c r="Q18" s="155"/>
      <c r="R18" s="68"/>
      <c r="S18" s="20"/>
      <c r="T18" s="20"/>
    </row>
    <row r="19" spans="1:20" ht="16.5" customHeight="1">
      <c r="A19" s="110" t="s">
        <v>128</v>
      </c>
      <c r="B19" s="62"/>
      <c r="C19" s="20"/>
      <c r="D19" s="20"/>
      <c r="E19" s="20"/>
      <c r="F19" s="20"/>
      <c r="G19" s="20"/>
      <c r="H19" s="152"/>
      <c r="I19" s="154"/>
      <c r="J19" s="150"/>
      <c r="K19" s="150"/>
      <c r="L19" s="150"/>
      <c r="M19" s="140"/>
      <c r="N19" s="155"/>
      <c r="O19" s="134"/>
      <c r="P19" s="68"/>
      <c r="Q19" s="155"/>
      <c r="R19" s="68"/>
      <c r="S19" s="20"/>
      <c r="T19" s="20"/>
    </row>
    <row r="20" spans="1:20" ht="63" customHeight="1">
      <c r="A20" s="63"/>
      <c r="B20" s="62"/>
      <c r="C20" s="20"/>
      <c r="D20" s="20"/>
      <c r="E20" s="20"/>
      <c r="F20" s="20"/>
      <c r="G20" s="20"/>
      <c r="H20" s="127" t="str">
        <f>VLOOKUP(Tendering!$B$12,Database!$A$30:$C$35,3,FALSE)</f>
        <v>A</v>
      </c>
      <c r="I20" s="156"/>
      <c r="J20" s="158"/>
      <c r="K20" s="158"/>
      <c r="L20" s="151"/>
      <c r="M20" s="140"/>
      <c r="N20" s="155"/>
      <c r="O20" s="134"/>
      <c r="P20" s="68"/>
      <c r="Q20" s="155"/>
      <c r="R20" s="68"/>
      <c r="S20" s="20"/>
      <c r="T20" s="20"/>
    </row>
    <row r="21" spans="1:20" ht="17.25" customHeight="1">
      <c r="A21" s="110" t="s">
        <v>121</v>
      </c>
      <c r="B21" s="62"/>
      <c r="C21" s="20"/>
      <c r="D21" s="20"/>
      <c r="E21" s="20"/>
      <c r="F21" s="20"/>
      <c r="G21" s="20"/>
      <c r="H21" s="141"/>
      <c r="I21" s="142"/>
      <c r="J21" s="134"/>
      <c r="K21" s="134"/>
      <c r="L21" s="134"/>
      <c r="M21" s="130"/>
      <c r="N21" s="155"/>
      <c r="O21" s="134"/>
      <c r="P21" s="68"/>
      <c r="Q21" s="155"/>
      <c r="R21" s="68"/>
      <c r="S21" s="20"/>
      <c r="T21" s="20"/>
    </row>
    <row r="22" spans="1:20" ht="43.5" customHeight="1">
      <c r="A22" s="61"/>
      <c r="B22" s="62"/>
      <c r="C22" s="20"/>
      <c r="D22" s="20"/>
      <c r="E22" s="20"/>
      <c r="F22" s="20"/>
      <c r="G22" s="20"/>
      <c r="H22" s="127">
        <f>VLOOKUP(Tendering!$B$13,Database!$A$39:$C$42,3,FALSE)</f>
        <v>1</v>
      </c>
      <c r="I22" s="142"/>
      <c r="J22" s="138"/>
      <c r="K22" s="138"/>
      <c r="L22" s="138"/>
      <c r="M22" s="135"/>
      <c r="N22" s="155"/>
      <c r="O22" s="134"/>
      <c r="P22" s="68"/>
      <c r="Q22" s="155"/>
      <c r="R22" s="68"/>
      <c r="S22" s="20"/>
      <c r="T22" s="20"/>
    </row>
    <row r="23" spans="1:20" ht="15.75" customHeight="1">
      <c r="A23" s="109" t="s">
        <v>119</v>
      </c>
      <c r="B23" s="66"/>
      <c r="C23" s="25"/>
      <c r="D23" s="25"/>
      <c r="E23" s="25"/>
      <c r="F23" s="25"/>
      <c r="G23" s="26"/>
      <c r="H23" s="159"/>
      <c r="I23" s="154"/>
      <c r="J23" s="150"/>
      <c r="K23" s="150"/>
      <c r="L23" s="150"/>
      <c r="M23" s="150"/>
      <c r="N23" s="155"/>
      <c r="O23" s="134"/>
      <c r="P23" s="68"/>
      <c r="Q23" s="155"/>
      <c r="R23" s="68"/>
      <c r="S23" s="20"/>
      <c r="T23" s="20"/>
    </row>
    <row r="24" spans="1:20" ht="22.5" customHeight="1">
      <c r="A24" s="70" t="s">
        <v>118</v>
      </c>
      <c r="B24" s="64"/>
      <c r="C24" s="22"/>
      <c r="D24" s="22"/>
      <c r="E24" s="22"/>
      <c r="F24" s="22"/>
      <c r="G24" s="23"/>
      <c r="H24" s="71" t="s">
        <v>20</v>
      </c>
      <c r="I24" s="150"/>
      <c r="J24" s="158"/>
      <c r="K24" s="150"/>
      <c r="L24" s="150"/>
      <c r="M24" s="150"/>
      <c r="N24" s="155"/>
      <c r="O24" s="130"/>
      <c r="P24" s="68"/>
      <c r="Q24" s="155"/>
      <c r="R24" s="68"/>
      <c r="S24" s="20"/>
      <c r="T24" s="20"/>
    </row>
    <row r="25" spans="1:20" ht="15.75" customHeight="1">
      <c r="A25" s="110" t="s">
        <v>117</v>
      </c>
      <c r="B25" s="62"/>
      <c r="C25" s="20"/>
      <c r="D25" s="20"/>
      <c r="E25" s="20"/>
      <c r="F25" s="20"/>
      <c r="G25" s="20"/>
      <c r="H25" s="143"/>
      <c r="I25" s="144"/>
      <c r="J25" s="272" t="str">
        <f>VLOOKUP($H$12,Database!$C$50:$D$53,2,FALSE)</f>
        <v> </v>
      </c>
      <c r="K25" s="273"/>
      <c r="L25" s="273"/>
      <c r="M25" s="273"/>
      <c r="N25" s="273"/>
      <c r="O25" s="273"/>
      <c r="P25" s="274"/>
      <c r="Q25" s="155"/>
      <c r="R25" s="68"/>
      <c r="S25" s="20"/>
      <c r="T25" s="20"/>
    </row>
    <row r="26" spans="1:20" ht="32.25" customHeight="1">
      <c r="A26" s="62"/>
      <c r="B26" s="62"/>
      <c r="C26" s="20"/>
      <c r="D26" s="20"/>
      <c r="E26" s="20"/>
      <c r="F26" s="20"/>
      <c r="G26" s="20"/>
      <c r="H26" s="127">
        <f>VLOOKUP(Tendering!$B$14,Database!$A$45:$C$48,3,FALSE)</f>
        <v>0</v>
      </c>
      <c r="I26" s="163"/>
      <c r="J26" s="275"/>
      <c r="K26" s="276"/>
      <c r="L26" s="276"/>
      <c r="M26" s="276"/>
      <c r="N26" s="276"/>
      <c r="O26" s="276"/>
      <c r="P26" s="277"/>
      <c r="Q26" s="155"/>
      <c r="R26" s="68"/>
      <c r="S26" s="20"/>
      <c r="T26" s="20"/>
    </row>
    <row r="27" spans="1:20" ht="15.75" customHeight="1">
      <c r="A27" s="110" t="s">
        <v>112</v>
      </c>
      <c r="B27" s="62"/>
      <c r="C27" s="20"/>
      <c r="D27" s="20"/>
      <c r="E27" s="20"/>
      <c r="F27" s="20"/>
      <c r="G27" s="20"/>
      <c r="H27" s="152"/>
      <c r="I27" s="150"/>
      <c r="J27" s="150"/>
      <c r="K27" s="150"/>
      <c r="L27" s="150"/>
      <c r="M27" s="150"/>
      <c r="N27" s="150"/>
      <c r="O27" s="150"/>
      <c r="P27" s="150"/>
      <c r="Q27" s="155"/>
      <c r="R27" s="68"/>
      <c r="S27" s="20"/>
      <c r="T27" s="20"/>
    </row>
    <row r="28" spans="1:20" ht="22.5" customHeight="1">
      <c r="A28" s="67"/>
      <c r="B28" s="62"/>
      <c r="C28" s="20"/>
      <c r="D28" s="20"/>
      <c r="E28" s="20"/>
      <c r="F28" s="20"/>
      <c r="G28" s="20"/>
      <c r="H28" s="126">
        <f>VLOOKUP(Tendering!$B$16,Database!$A$56:$C$57,3)</f>
        <v>8</v>
      </c>
      <c r="I28" s="158"/>
      <c r="J28" s="158"/>
      <c r="K28" s="158"/>
      <c r="L28" s="158"/>
      <c r="M28" s="158"/>
      <c r="N28" s="158"/>
      <c r="O28" s="158"/>
      <c r="P28" s="158"/>
      <c r="Q28" s="151"/>
      <c r="R28" s="69"/>
      <c r="S28" s="20"/>
      <c r="T28" s="20"/>
    </row>
    <row r="29" spans="1:20" ht="15.75" customHeight="1">
      <c r="A29" s="182"/>
      <c r="B29" s="20"/>
      <c r="C29" s="20"/>
      <c r="D29" s="20"/>
      <c r="E29" s="20"/>
      <c r="F29" s="20"/>
      <c r="G29" s="20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0"/>
      <c r="T29" s="20"/>
    </row>
    <row r="30" spans="1:20" ht="22.5" customHeight="1">
      <c r="A30" s="20"/>
      <c r="B30" s="20"/>
      <c r="C30" s="20"/>
      <c r="D30" s="20"/>
      <c r="E30" s="20"/>
      <c r="F30" s="20"/>
      <c r="G30" s="20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0"/>
      <c r="T30" s="20"/>
    </row>
    <row r="31" spans="1:20" ht="15.75" customHeight="1">
      <c r="A31" s="29"/>
      <c r="B31" s="20"/>
      <c r="C31" s="20"/>
      <c r="D31" s="20"/>
      <c r="E31" s="20"/>
      <c r="F31" s="20"/>
      <c r="G31" s="20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0"/>
      <c r="T31" s="20"/>
    </row>
    <row r="32" spans="1:18" ht="14.25">
      <c r="A32" s="20"/>
      <c r="B32" s="20"/>
      <c r="C32" s="20"/>
      <c r="D32" s="20"/>
      <c r="E32" s="20"/>
      <c r="F32" s="20"/>
      <c r="G32" s="20"/>
      <c r="H32" s="27"/>
      <c r="I32" s="27"/>
      <c r="J32" s="28"/>
      <c r="K32" s="28"/>
      <c r="L32" s="28"/>
      <c r="M32" s="28"/>
      <c r="N32" s="28"/>
      <c r="O32" s="28"/>
      <c r="P32" s="27"/>
      <c r="Q32" s="27"/>
      <c r="R32" s="27"/>
    </row>
    <row r="33" spans="1:18" ht="14.25">
      <c r="A33" s="20"/>
      <c r="B33" s="20"/>
      <c r="C33" s="20"/>
      <c r="D33" s="20"/>
      <c r="E33" s="20"/>
      <c r="F33" s="20"/>
      <c r="G33" s="20"/>
      <c r="H33" s="27"/>
      <c r="I33" s="27"/>
      <c r="J33" s="28"/>
      <c r="K33" s="28"/>
      <c r="L33" s="28"/>
      <c r="M33" s="28"/>
      <c r="N33" s="28"/>
      <c r="O33" s="28"/>
      <c r="P33" s="27"/>
      <c r="Q33" s="27"/>
      <c r="R33" s="27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</sheetData>
  <sheetProtection password="DFED" sheet="1"/>
  <mergeCells count="3">
    <mergeCell ref="A3:F3"/>
    <mergeCell ref="J12:P12"/>
    <mergeCell ref="J25:P26"/>
  </mergeCells>
  <printOptions/>
  <pageMargins left="0.75" right="0.75" top="0.5" bottom="1" header="0.5" footer="0.5"/>
  <pageSetup fitToHeight="1" fitToWidth="1" horizontalDpi="600" verticalDpi="600" orientation="portrait" paperSize="9" scale="73" r:id="rId3"/>
  <headerFooter alignWithMargins="0">
    <oddFooter>&amp;L&amp;D&amp;R&amp;G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30"/>
  <sheetViews>
    <sheetView showGridLines="0" showRowColHeaders="0" zoomScalePageLayoutView="0" workbookViewId="0" topLeftCell="A1">
      <pane ySplit="1" topLeftCell="A2" activePane="bottomLeft" state="frozen"/>
      <selection pane="topLeft" activeCell="A2" sqref="A2"/>
      <selection pane="bottomLeft" activeCell="A27" sqref="A27"/>
    </sheetView>
  </sheetViews>
  <sheetFormatPr defaultColWidth="10.7109375" defaultRowHeight="12"/>
  <cols>
    <col min="1" max="1" width="10.00390625" style="2" customWidth="1"/>
    <col min="2" max="2" width="3.421875" style="2" customWidth="1"/>
    <col min="3" max="3" width="86.140625" style="2" customWidth="1"/>
    <col min="4" max="4" width="14.140625" style="2" customWidth="1"/>
    <col min="5" max="16384" width="10.7109375" style="2" customWidth="1"/>
  </cols>
  <sheetData>
    <row r="1" spans="1:3" ht="15">
      <c r="A1" s="103" t="str">
        <f>CONCATENATE(Configurator!H8,Configurator!I8,Configurator!J8,Configurator!K8,Configurator!L8,Configurator!M8,Configurator!N8,Configurator!O8,Configurator!P8,Configurator!Q8,Configurator!R8)</f>
        <v>P643911A1M0B18M</v>
      </c>
      <c r="B1" s="104"/>
      <c r="C1" s="99"/>
    </row>
    <row r="2" spans="1:3" ht="15">
      <c r="A2" s="105"/>
      <c r="B2" s="6"/>
      <c r="C2" s="12"/>
    </row>
    <row r="3" spans="1:3" ht="12.75">
      <c r="A3" s="5" t="str">
        <f>Configurator!A8</f>
        <v>Дифференциальная защита транформатора </v>
      </c>
      <c r="B3" s="6"/>
      <c r="C3" s="12"/>
    </row>
    <row r="4" spans="1:3" ht="12.75">
      <c r="A4" s="5"/>
      <c r="B4" s="6"/>
      <c r="C4" s="12"/>
    </row>
    <row r="5" spans="1:3" ht="12.75">
      <c r="A5" s="5" t="str">
        <f>Configurator!A13</f>
        <v>Напряжение питания:</v>
      </c>
      <c r="B5" s="7"/>
      <c r="C5" s="12"/>
    </row>
    <row r="6" spans="1:3" ht="12.75">
      <c r="A6" s="107" t="str">
        <f>CONCATENATE("  ",VLOOKUP(Tendering!$B$9,Database!$A$2:$C$4,2))</f>
        <v>  24 - 32 Vdc</v>
      </c>
      <c r="B6" s="108"/>
      <c r="C6" s="12"/>
    </row>
    <row r="7" spans="1:3" ht="12.75">
      <c r="A7" s="5" t="str">
        <f>Configurator!A15</f>
        <v>Цепи ТТ и ТН:</v>
      </c>
      <c r="B7" s="7"/>
      <c r="C7" s="12"/>
    </row>
    <row r="8" spans="1:3" ht="12.75">
      <c r="A8" s="107" t="str">
        <f>CONCATENATE("  ",VLOOKUP(Tendering!$B$10,Database!$A$7:$C$9,2))</f>
        <v>  HV-LV In = 1A/5A, Vn = (100/120V) (12CT/1VT)</v>
      </c>
      <c r="B8" s="108"/>
      <c r="C8" s="12"/>
    </row>
    <row r="9" spans="1:3" ht="12.75">
      <c r="A9" s="5" t="str">
        <f>Configurator!A17</f>
        <v>Аппаратные опции:</v>
      </c>
      <c r="B9" s="7"/>
      <c r="C9" s="12"/>
    </row>
    <row r="10" spans="1:3" ht="12.75">
      <c r="A10" s="107" t="str">
        <f>CONCATENATE("  ",VLOOKUP(Tendering!$B$11,Database!$A$11:$C$27,2))</f>
        <v>  Стандартные</v>
      </c>
      <c r="B10" s="108"/>
      <c r="C10" s="12"/>
    </row>
    <row r="11" spans="1:3" ht="12.75">
      <c r="A11" s="106" t="str">
        <f>Configurator!A19</f>
        <v>Опции устройства:</v>
      </c>
      <c r="B11" s="7"/>
      <c r="C11" s="12"/>
    </row>
    <row r="12" spans="1:3" ht="12.75">
      <c r="A12" s="107" t="str">
        <f>CONCATENATE("  ",VLOOKUP(Tendering!$B$12,Database!$A$30:$C$35,2))</f>
        <v>  Корпус 60TE размер 12, 16 оптовходов + 16 выходных реле</v>
      </c>
      <c r="B12" s="108"/>
      <c r="C12" s="12"/>
    </row>
    <row r="13" spans="1:3" ht="12.75">
      <c r="A13" s="5" t="str">
        <f>Configurator!A21</f>
        <v>Протокол:</v>
      </c>
      <c r="B13" s="7"/>
      <c r="C13" s="12"/>
    </row>
    <row r="14" spans="1:3" ht="12.75">
      <c r="A14" s="107" t="str">
        <f>CONCATENATE("  ",VLOOKUP(Tendering!$B$13,Database!$A$39:$C$42,2))</f>
        <v>  K-Bus/Courier</v>
      </c>
      <c r="B14" s="108"/>
      <c r="C14" s="12"/>
    </row>
    <row r="15" spans="1:3" ht="12.75">
      <c r="A15" s="5" t="str">
        <f>Configurator!A23</f>
        <v>Тип монтажа:</v>
      </c>
      <c r="B15" s="7"/>
      <c r="C15" s="12"/>
    </row>
    <row r="16" spans="1:3" ht="12.75">
      <c r="A16" s="107" t="str">
        <f>CONCATENATE("  ",Configurator!A24)</f>
        <v>  Утопленный монтаж с задним подключением</v>
      </c>
      <c r="B16" s="108"/>
      <c r="C16" s="12"/>
    </row>
    <row r="17" spans="1:3" ht="12.75">
      <c r="A17" s="5" t="str">
        <f>Configurator!A25</f>
        <v>Язык:</v>
      </c>
      <c r="B17" s="7"/>
      <c r="C17" s="12"/>
    </row>
    <row r="18" spans="1:3" ht="12.75">
      <c r="A18" s="107" t="str">
        <f>CONCATENATE("  ",VLOOKUP(Tendering!$B$14,Database!$A$45:$C$48,2))</f>
        <v>  Английский, Французский, Немецкий, Испанский</v>
      </c>
      <c r="B18" s="108"/>
      <c r="C18" s="12"/>
    </row>
    <row r="19" spans="1:3" ht="12.75">
      <c r="A19" s="5" t="str">
        <f>Configurator!A11</f>
        <v>Версия ПО:</v>
      </c>
      <c r="B19" s="7"/>
      <c r="C19" s="12"/>
    </row>
    <row r="20" spans="1:3" ht="12.75">
      <c r="A20" s="107" t="str">
        <f>CONCATENATE("  ",VLOOKUP(Tendering!$B$15,Database!$A$50:$C$53,3))</f>
        <v>  B1</v>
      </c>
      <c r="B20" s="108"/>
      <c r="C20" s="12"/>
    </row>
    <row r="21" spans="1:3" ht="12.75">
      <c r="A21" s="106" t="str">
        <f>Configurator!A27</f>
        <v>Настройки устройства:</v>
      </c>
      <c r="B21" s="7"/>
      <c r="C21" s="12"/>
    </row>
    <row r="22" spans="1:3" ht="12.75">
      <c r="A22" s="278" t="str">
        <f>CONCATENATE("  ",VLOOKUP(Tendering!$B$16,Database!$A$56:$C$57,2))</f>
        <v>  По умолчанию</v>
      </c>
      <c r="B22" s="279"/>
      <c r="C22" s="280"/>
    </row>
    <row r="23" spans="1:3" ht="12.75" customHeight="1" thickBot="1">
      <c r="A23" s="100"/>
      <c r="B23" s="101"/>
      <c r="C23" s="102"/>
    </row>
    <row r="24" spans="1:3" ht="12.75">
      <c r="A24" s="3"/>
      <c r="B24" s="11"/>
      <c r="C24" s="3"/>
    </row>
    <row r="25" spans="1:3" ht="12.75">
      <c r="A25" s="3"/>
      <c r="B25" s="11"/>
      <c r="C25" s="3"/>
    </row>
    <row r="26" spans="1:3" ht="12.75">
      <c r="A26" s="3"/>
      <c r="B26" s="11"/>
      <c r="C26" s="3"/>
    </row>
    <row r="27" spans="1:3" ht="12.75">
      <c r="A27" s="3"/>
      <c r="B27" s="11"/>
      <c r="C27" s="3"/>
    </row>
    <row r="28" spans="1:3" ht="12.75">
      <c r="A28" s="3"/>
      <c r="B28" s="11"/>
      <c r="C28" s="3"/>
    </row>
    <row r="29" spans="1:3" ht="12.75">
      <c r="A29" s="3"/>
      <c r="B29" s="11"/>
      <c r="C29" s="3"/>
    </row>
    <row r="30" spans="1:3" ht="12.75">
      <c r="A30" s="3"/>
      <c r="B30" s="3"/>
      <c r="C30" s="3"/>
    </row>
  </sheetData>
  <sheetProtection password="DFED" sheet="1" objects="1" scenarios="1"/>
  <mergeCells count="1">
    <mergeCell ref="A22:C22"/>
  </mergeCells>
  <printOptions/>
  <pageMargins left="0.75" right="0.75" top="1" bottom="1" header="0.5" footer="0.5"/>
  <pageSetup fitToHeight="0" fitToWidth="1" horizontalDpi="600" verticalDpi="600" orientation="portrait" paperSize="9" r:id="rId1"/>
  <headerFooter alignWithMargins="0">
    <oddHeader>&amp;C&amp;A</oddHeader>
    <oddFooter>&amp;LPage &amp;P of &amp;N&amp;C&amp;F&amp;R&amp;D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B30"/>
  <sheetViews>
    <sheetView zoomScalePageLayoutView="0" workbookViewId="0" topLeftCell="A1">
      <selection activeCell="C38" sqref="C38"/>
    </sheetView>
  </sheetViews>
  <sheetFormatPr defaultColWidth="13.28125" defaultRowHeight="12"/>
  <cols>
    <col min="1" max="1" width="24.8515625" style="190" customWidth="1"/>
    <col min="2" max="2" width="30.8515625" style="202" customWidth="1"/>
    <col min="3" max="26" width="3.28125" style="198" customWidth="1"/>
    <col min="27" max="27" width="26.8515625" style="190" customWidth="1"/>
    <col min="28" max="16384" width="13.28125" style="190" customWidth="1"/>
  </cols>
  <sheetData>
    <row r="1" spans="1:28" ht="17.25" customHeight="1">
      <c r="A1" s="187"/>
      <c r="B1" s="188"/>
      <c r="C1" s="189">
        <f>IF(C3&lt;&gt;"",COLUMN(C:C)-2,"")</f>
        <v>1</v>
      </c>
      <c r="D1" s="189">
        <f aca="true" t="shared" si="0" ref="D1:Z1">IF(D3&lt;&gt;"",COLUMN(D$1:D$65536)-2,"")</f>
        <v>2</v>
      </c>
      <c r="E1" s="189">
        <f t="shared" si="0"/>
        <v>3</v>
      </c>
      <c r="F1" s="189">
        <f t="shared" si="0"/>
        <v>4</v>
      </c>
      <c r="G1" s="189">
        <f t="shared" si="0"/>
        <v>5</v>
      </c>
      <c r="H1" s="189">
        <f t="shared" si="0"/>
        <v>6</v>
      </c>
      <c r="I1" s="189">
        <f t="shared" si="0"/>
        <v>7</v>
      </c>
      <c r="J1" s="189">
        <f t="shared" si="0"/>
        <v>8</v>
      </c>
      <c r="K1" s="189">
        <f t="shared" si="0"/>
        <v>9</v>
      </c>
      <c r="L1" s="189">
        <f t="shared" si="0"/>
        <v>10</v>
      </c>
      <c r="M1" s="189">
        <f t="shared" si="0"/>
        <v>11</v>
      </c>
      <c r="N1" s="189">
        <f t="shared" si="0"/>
        <v>12</v>
      </c>
      <c r="O1" s="189">
        <f t="shared" si="0"/>
        <v>13</v>
      </c>
      <c r="P1" s="189">
        <f t="shared" si="0"/>
        <v>14</v>
      </c>
      <c r="Q1" s="189">
        <f t="shared" si="0"/>
        <v>15</v>
      </c>
      <c r="R1" s="189">
        <f t="shared" si="0"/>
      </c>
      <c r="S1" s="189">
        <f t="shared" si="0"/>
      </c>
      <c r="T1" s="189">
        <f t="shared" si="0"/>
      </c>
      <c r="U1" s="189">
        <f t="shared" si="0"/>
      </c>
      <c r="V1" s="189">
        <f t="shared" si="0"/>
      </c>
      <c r="W1" s="189">
        <f t="shared" si="0"/>
      </c>
      <c r="X1" s="189">
        <f t="shared" si="0"/>
      </c>
      <c r="Y1" s="189">
        <f t="shared" si="0"/>
      </c>
      <c r="Z1" s="189">
        <f t="shared" si="0"/>
      </c>
      <c r="AA1" s="189">
        <f>MAX(C1:Z1,AB1)</f>
        <v>19</v>
      </c>
      <c r="AB1" s="189">
        <f>MAX(AB5:AB30)-4</f>
        <v>19</v>
      </c>
    </row>
    <row r="2" spans="1:27" ht="13.5" thickBot="1">
      <c r="A2" s="191" t="s">
        <v>90</v>
      </c>
      <c r="B2" s="192" t="s">
        <v>106</v>
      </c>
      <c r="C2" s="193" t="str">
        <f>MID($B$2,COLUMN(C:C)-2,1)</f>
        <v>P</v>
      </c>
      <c r="D2" s="193" t="str">
        <f aca="true" t="shared" si="1" ref="D2:AA2">MID($B$2,COLUMN(D$1:D$65536)-2,1)</f>
        <v>6</v>
      </c>
      <c r="E2" s="193" t="str">
        <f t="shared" si="1"/>
        <v>4</v>
      </c>
      <c r="F2" s="193" t="str">
        <f t="shared" si="1"/>
        <v>3</v>
      </c>
      <c r="G2" s="193" t="str">
        <f t="shared" si="1"/>
        <v>1</v>
      </c>
      <c r="H2" s="193" t="str">
        <f t="shared" si="1"/>
        <v>1</v>
      </c>
      <c r="I2" s="193" t="str">
        <f t="shared" si="1"/>
        <v>1</v>
      </c>
      <c r="J2" s="193" t="str">
        <f t="shared" si="1"/>
        <v>A</v>
      </c>
      <c r="K2" s="193" t="str">
        <f t="shared" si="1"/>
        <v>1</v>
      </c>
      <c r="L2" s="193" t="str">
        <f t="shared" si="1"/>
        <v>M</v>
      </c>
      <c r="M2" s="193" t="str">
        <f t="shared" si="1"/>
        <v>0</v>
      </c>
      <c r="N2" s="193" t="str">
        <f t="shared" si="1"/>
        <v>0</v>
      </c>
      <c r="O2" s="193" t="str">
        <f t="shared" si="1"/>
        <v>4</v>
      </c>
      <c r="P2" s="193" t="str">
        <f t="shared" si="1"/>
        <v>8</v>
      </c>
      <c r="Q2" s="193" t="str">
        <f t="shared" si="1"/>
        <v>K</v>
      </c>
      <c r="R2" s="193">
        <f t="shared" si="1"/>
      </c>
      <c r="S2" s="193">
        <f t="shared" si="1"/>
      </c>
      <c r="T2" s="193">
        <f t="shared" si="1"/>
      </c>
      <c r="U2" s="193">
        <f t="shared" si="1"/>
      </c>
      <c r="V2" s="193">
        <f>MID($B$2,COLUMN(V:V)-2,1)</f>
      </c>
      <c r="W2" s="193">
        <f t="shared" si="1"/>
      </c>
      <c r="X2" s="193">
        <f t="shared" si="1"/>
      </c>
      <c r="Y2" s="193">
        <f t="shared" si="1"/>
      </c>
      <c r="Z2" s="193">
        <f t="shared" si="1"/>
      </c>
      <c r="AA2" s="193">
        <f t="shared" si="1"/>
      </c>
    </row>
    <row r="3" spans="1:27" ht="13.5" thickBot="1">
      <c r="A3" s="194" t="s">
        <v>91</v>
      </c>
      <c r="B3" s="195" t="str">
        <f>C3&amp;D3&amp;E3&amp;F3&amp;G3&amp;H3&amp;I3&amp;J3&amp;K3&amp;L3&amp;M3&amp;N3&amp;O3&amp;P3&amp;Q3&amp;R3&amp;S3&amp;T3&amp;U3&amp;V3&amp;W3&amp;X3&amp;Y3&amp;Z3</f>
        <v>P643911A1M0B18M</v>
      </c>
      <c r="C3" s="196" t="str">
        <f>+C5&amp;C6&amp;C7&amp;C8&amp;C9&amp;C10&amp;C11&amp;C12&amp;C13&amp;C14&amp;C15&amp;C16&amp;C17&amp;C18&amp;C19&amp;C20&amp;C21&amp;C22&amp;C23&amp;C24&amp;C25&amp;C26&amp;C27&amp;C28&amp;C29&amp;C30</f>
        <v>P</v>
      </c>
      <c r="D3" s="196" t="str">
        <f aca="true" t="shared" si="2" ref="D3:Z3">+D5&amp;D6&amp;D7&amp;D8&amp;D9&amp;D10&amp;D11&amp;D12&amp;D13&amp;D14&amp;D15&amp;D16&amp;D17&amp;D18&amp;D19&amp;D20&amp;D21&amp;D22&amp;D23&amp;D24&amp;D25&amp;D26&amp;D27&amp;D28&amp;D29&amp;D30</f>
        <v>6</v>
      </c>
      <c r="E3" s="196" t="str">
        <f t="shared" si="2"/>
        <v>4</v>
      </c>
      <c r="F3" s="196" t="str">
        <f t="shared" si="2"/>
        <v>3</v>
      </c>
      <c r="G3" s="196" t="str">
        <f t="shared" si="2"/>
        <v>9</v>
      </c>
      <c r="H3" s="196" t="str">
        <f t="shared" si="2"/>
        <v>1</v>
      </c>
      <c r="I3" s="196" t="str">
        <f t="shared" si="2"/>
        <v>1</v>
      </c>
      <c r="J3" s="196" t="str">
        <f t="shared" si="2"/>
        <v>A</v>
      </c>
      <c r="K3" s="196" t="str">
        <f t="shared" si="2"/>
        <v>1</v>
      </c>
      <c r="L3" s="196" t="str">
        <f t="shared" si="2"/>
        <v>M</v>
      </c>
      <c r="M3" s="196" t="str">
        <f t="shared" si="2"/>
        <v>0</v>
      </c>
      <c r="N3" s="196" t="str">
        <f t="shared" si="2"/>
        <v>B</v>
      </c>
      <c r="O3" s="196" t="str">
        <f t="shared" si="2"/>
        <v>1</v>
      </c>
      <c r="P3" s="196" t="str">
        <f t="shared" si="2"/>
        <v>8</v>
      </c>
      <c r="Q3" s="196" t="str">
        <f t="shared" si="2"/>
        <v>M</v>
      </c>
      <c r="R3" s="196">
        <f t="shared" si="2"/>
      </c>
      <c r="S3" s="196">
        <f t="shared" si="2"/>
      </c>
      <c r="T3" s="196">
        <f t="shared" si="2"/>
      </c>
      <c r="U3" s="196">
        <f t="shared" si="2"/>
      </c>
      <c r="V3" s="196">
        <f t="shared" si="2"/>
      </c>
      <c r="W3" s="196">
        <f t="shared" si="2"/>
      </c>
      <c r="X3" s="196">
        <f t="shared" si="2"/>
      </c>
      <c r="Y3" s="196">
        <f t="shared" si="2"/>
      </c>
      <c r="Z3" s="196">
        <f t="shared" si="2"/>
      </c>
      <c r="AA3" s="196" t="s">
        <v>92</v>
      </c>
    </row>
    <row r="4" ht="12.75">
      <c r="B4" s="197">
        <v>0</v>
      </c>
    </row>
    <row r="5" spans="1:28" ht="12.75">
      <c r="A5" s="190" t="s">
        <v>93</v>
      </c>
      <c r="B5" s="199"/>
      <c r="C5" s="198" t="s">
        <v>80</v>
      </c>
      <c r="AB5" s="190">
        <f>+IF(AND(ISBLANK(A5),ISBLANK(B5)),0,ROW(A5))</f>
        <v>5</v>
      </c>
    </row>
    <row r="6" spans="1:28" ht="12.75">
      <c r="A6" s="190" t="s">
        <v>94</v>
      </c>
      <c r="B6" s="199"/>
      <c r="D6" s="198">
        <v>6</v>
      </c>
      <c r="AB6" s="190">
        <f>+IF(AND(ISBLANK(A6),ISBLANK(B6)),0,ROW(A6))</f>
        <v>6</v>
      </c>
    </row>
    <row r="7" spans="1:28" ht="12.75">
      <c r="A7" s="190" t="s">
        <v>95</v>
      </c>
      <c r="B7" s="199"/>
      <c r="E7" s="198">
        <v>4</v>
      </c>
      <c r="AB7" s="190">
        <f>+IF(AND(ISBLANK(A7),ISBLANK(B7)),0,ROW(A7))</f>
        <v>7</v>
      </c>
    </row>
    <row r="8" spans="1:28" ht="12.75">
      <c r="A8" s="190" t="s">
        <v>96</v>
      </c>
      <c r="B8" s="199"/>
      <c r="F8" s="198">
        <v>3</v>
      </c>
      <c r="AB8" s="190">
        <f>+IF(AND(ISBLANK(A8),ISBLANK(B8)),0,ROW(A8))</f>
        <v>8</v>
      </c>
    </row>
    <row r="9" spans="1:28" ht="12.75">
      <c r="A9" s="203" t="s">
        <v>97</v>
      </c>
      <c r="B9" s="72">
        <v>1</v>
      </c>
      <c r="G9" s="198">
        <f>IF(OR(ISERR(Configurator!I$8),ISNA(Configurator!I$8)),"_",Configurator!I$8)</f>
        <v>9</v>
      </c>
      <c r="AB9" s="190">
        <f>+IF(AND(ISBLANK(A9),ISBLANK(#REF!)),0,ROW(A9))</f>
        <v>9</v>
      </c>
    </row>
    <row r="10" spans="1:28" ht="12.75">
      <c r="A10" s="203" t="s">
        <v>98</v>
      </c>
      <c r="B10" s="83">
        <v>1</v>
      </c>
      <c r="H10" s="198" t="str">
        <f>IF(OR(ISERR(Configurator!J$8),ISNA(Configurator!J$8)),"_",Configurator!J$8)</f>
        <v>1</v>
      </c>
      <c r="AB10" s="190">
        <f>+IF(AND(ISBLANK(A10),ISBLANK(#REF!)),0,ROW(A10))</f>
        <v>10</v>
      </c>
    </row>
    <row r="11" spans="1:28" ht="12.75">
      <c r="A11" s="203" t="s">
        <v>99</v>
      </c>
      <c r="B11" s="72">
        <v>1</v>
      </c>
      <c r="I11" s="198">
        <f>IF(OR(ISERR(Configurator!K$8),ISNA(Configurator!K$8)),"_",Configurator!K$8)</f>
        <v>1</v>
      </c>
      <c r="AB11" s="190">
        <f>+IF(AND(ISBLANK(A11),ISBLANK(#REF!)),0,ROW(A11))</f>
        <v>11</v>
      </c>
    </row>
    <row r="12" spans="1:28" ht="12.75">
      <c r="A12" s="203" t="s">
        <v>100</v>
      </c>
      <c r="B12" s="72">
        <v>1</v>
      </c>
      <c r="J12" s="198" t="str">
        <f>IF(OR(ISERR(Configurator!L$8),ISNA(Configurator!L$8)),"_",Configurator!L$8)</f>
        <v>A</v>
      </c>
      <c r="AB12" s="190">
        <f>+IF(AND(ISBLANK(A12),ISBLANK(#REF!)),0,ROW(A12))</f>
        <v>12</v>
      </c>
    </row>
    <row r="13" spans="1:28" ht="12.75">
      <c r="A13" s="203" t="s">
        <v>101</v>
      </c>
      <c r="B13" s="83">
        <v>1</v>
      </c>
      <c r="K13" s="198">
        <f>IF(OR(ISERR(Configurator!M$8),ISNA(Configurator!M$8)),"_",Configurator!M$8)</f>
        <v>1</v>
      </c>
      <c r="L13" s="198" t="str">
        <f>IF(OR(ISERR(Configurator!N$8),ISNA(Configurator!N$8)),"_",Configurator!N$8)</f>
        <v>M</v>
      </c>
      <c r="AB13" s="190">
        <f>+IF(AND(ISBLANK(A13),ISBLANK(#REF!)),0,ROW(A13))</f>
        <v>13</v>
      </c>
    </row>
    <row r="14" spans="1:28" ht="12.75">
      <c r="A14" s="203" t="s">
        <v>102</v>
      </c>
      <c r="B14" s="83">
        <v>1</v>
      </c>
      <c r="M14" s="198">
        <f>IF(OR(ISERR(Configurator!O$8),ISNA(Configurator!O$8)),"_",Configurator!O$8)</f>
        <v>0</v>
      </c>
      <c r="AB14" s="190">
        <f>+IF(AND(ISBLANK(A14),ISBLANK(#REF!)),0,ROW(A14))</f>
        <v>14</v>
      </c>
    </row>
    <row r="15" spans="1:28" ht="12.75">
      <c r="A15" s="203" t="s">
        <v>103</v>
      </c>
      <c r="B15" s="72">
        <v>1</v>
      </c>
      <c r="N15" s="198" t="str">
        <f>IF(OR(ISERR(Configurator!P$8),ISNA(Configurator!P$8)),"_",LEFT(Configurator!P$8))</f>
        <v>B</v>
      </c>
      <c r="O15" s="198" t="str">
        <f>IF(OR(ISERR(Configurator!P$8),ISNA(Configurator!P$8)),"_",RIGHT(Configurator!P$8))</f>
        <v>1</v>
      </c>
      <c r="AB15" s="190">
        <f>+IF(AND(ISBLANK(A15),ISBLANK(#REF!)),0,ROW(A15))</f>
        <v>15</v>
      </c>
    </row>
    <row r="16" spans="1:28" ht="12.75">
      <c r="A16" s="203" t="s">
        <v>104</v>
      </c>
      <c r="B16" s="72">
        <v>1</v>
      </c>
      <c r="P16" s="198">
        <f>IF(OR(ISERR(Configurator!Q$8),ISNA(Configurator!Q$8)),"_",Configurator!Q$8)</f>
        <v>8</v>
      </c>
      <c r="AB16" s="190">
        <f>+IF(AND(ISBLANK(A16),ISBLANK(#REF!)),0,ROW(A16))</f>
        <v>16</v>
      </c>
    </row>
    <row r="17" spans="1:28" ht="12.75">
      <c r="A17" s="203" t="s">
        <v>105</v>
      </c>
      <c r="B17" s="72">
        <v>1</v>
      </c>
      <c r="Q17" s="198" t="str">
        <f>IF(OR(ISERR(Configurator!R$8),ISNA(Configurator!R$8)),"_",Configurator!R$8)</f>
        <v>M</v>
      </c>
      <c r="AB17" s="190">
        <f>+IF(AND(ISBLANK(A17),ISBLANK(#REF!)),0,ROW(A17))</f>
        <v>17</v>
      </c>
    </row>
    <row r="18" spans="2:28" ht="12.75">
      <c r="B18" s="200">
        <v>0</v>
      </c>
      <c r="AB18" s="190">
        <f>+IF(AND(ISBLANK(A18),ISBLANK(B18)),0,ROW(A18))</f>
        <v>18</v>
      </c>
    </row>
    <row r="19" spans="2:28" ht="12.75">
      <c r="B19" s="200">
        <v>0</v>
      </c>
      <c r="AB19" s="190">
        <f>+IF(AND(ISBLANK(A19),ISBLANK(B19)),0,ROW(A19))</f>
        <v>19</v>
      </c>
    </row>
    <row r="20" spans="2:28" ht="12.75">
      <c r="B20" s="200">
        <v>0</v>
      </c>
      <c r="AB20" s="190">
        <f>+IF(AND(ISBLANK(A20),ISBLANK(B20)),0,ROW(A20))</f>
        <v>20</v>
      </c>
    </row>
    <row r="21" spans="2:28" ht="12.75">
      <c r="B21" s="201">
        <v>0</v>
      </c>
      <c r="AB21" s="190">
        <f>+IF(AND(ISBLANK(A21),ISBLANK(B22)),0,ROW(A21))</f>
        <v>21</v>
      </c>
    </row>
    <row r="22" spans="2:28" ht="12.75">
      <c r="B22" s="200">
        <v>0</v>
      </c>
      <c r="AB22" s="190">
        <f>+IF(AND(ISBLANK(A22),ISBLANK(B23)),0,ROW(A22))</f>
        <v>22</v>
      </c>
    </row>
    <row r="23" spans="2:28" ht="12.75">
      <c r="B23" s="200">
        <v>0</v>
      </c>
      <c r="AB23" s="190">
        <f>+IF(AND(ISBLANK(A23),ISBLANK(#REF!)),0,ROW(A23))</f>
        <v>23</v>
      </c>
    </row>
    <row r="24" spans="2:28" ht="12.75">
      <c r="B24" s="199"/>
      <c r="AB24" s="190">
        <f aca="true" t="shared" si="3" ref="AB24:AB30">+IF(AND(ISBLANK(A24),ISBLANK(B24)),0,ROW(A24))</f>
        <v>0</v>
      </c>
    </row>
    <row r="25" spans="2:28" ht="12.75">
      <c r="B25" s="199"/>
      <c r="AB25" s="190">
        <f t="shared" si="3"/>
        <v>0</v>
      </c>
    </row>
    <row r="26" spans="2:28" ht="12.75">
      <c r="B26" s="199"/>
      <c r="AB26" s="190">
        <f t="shared" si="3"/>
        <v>0</v>
      </c>
    </row>
    <row r="27" spans="2:28" ht="12.75">
      <c r="B27" s="199"/>
      <c r="AB27" s="190">
        <f t="shared" si="3"/>
        <v>0</v>
      </c>
    </row>
    <row r="28" spans="2:28" ht="12.75">
      <c r="B28" s="199"/>
      <c r="AB28" s="190">
        <f t="shared" si="3"/>
        <v>0</v>
      </c>
    </row>
    <row r="29" spans="2:28" ht="12.75">
      <c r="B29" s="199"/>
      <c r="AB29" s="190">
        <f t="shared" si="3"/>
        <v>0</v>
      </c>
    </row>
    <row r="30" spans="2:28" ht="12.75">
      <c r="B30" s="199"/>
      <c r="AB30" s="190">
        <f t="shared" si="3"/>
        <v>0</v>
      </c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L83"/>
  <sheetViews>
    <sheetView zoomScalePageLayoutView="0" workbookViewId="0" topLeftCell="A49">
      <selection activeCell="D61" sqref="D61"/>
    </sheetView>
  </sheetViews>
  <sheetFormatPr defaultColWidth="9.140625" defaultRowHeight="12"/>
  <cols>
    <col min="1" max="1" width="30.140625" style="87" bestFit="1" customWidth="1"/>
    <col min="2" max="2" width="50.421875" style="87" bestFit="1" customWidth="1"/>
    <col min="3" max="3" width="5.7109375" style="73" bestFit="1" customWidth="1"/>
    <col min="4" max="4" width="14.28125" style="73" customWidth="1"/>
    <col min="5" max="6" width="9.28125" style="73" customWidth="1"/>
    <col min="7" max="7" width="14.140625" style="73" bestFit="1" customWidth="1"/>
    <col min="8" max="8" width="15.140625" style="73" customWidth="1"/>
    <col min="9" max="16384" width="9.28125" style="73" customWidth="1"/>
  </cols>
  <sheetData>
    <row r="1" ht="12.75">
      <c r="A1" s="4" t="s">
        <v>22</v>
      </c>
    </row>
    <row r="2" spans="1:3" ht="11.25">
      <c r="A2" s="74">
        <v>1</v>
      </c>
      <c r="B2" s="75" t="s">
        <v>161</v>
      </c>
      <c r="C2" s="76">
        <v>9</v>
      </c>
    </row>
    <row r="3" spans="1:3" ht="11.25">
      <c r="A3" s="77">
        <v>2</v>
      </c>
      <c r="B3" s="78" t="s">
        <v>66</v>
      </c>
      <c r="C3" s="79">
        <v>2</v>
      </c>
    </row>
    <row r="4" spans="1:3" ht="11.25">
      <c r="A4" s="80">
        <v>3</v>
      </c>
      <c r="B4" s="81" t="s">
        <v>2</v>
      </c>
      <c r="C4" s="82">
        <v>3</v>
      </c>
    </row>
    <row r="6" ht="12.75">
      <c r="A6" s="4" t="s">
        <v>40</v>
      </c>
    </row>
    <row r="7" spans="1:3" ht="11.25">
      <c r="A7" s="84">
        <v>1</v>
      </c>
      <c r="B7" s="75" t="s">
        <v>64</v>
      </c>
      <c r="C7" s="76" t="s">
        <v>17</v>
      </c>
    </row>
    <row r="8" spans="1:3" ht="11.25">
      <c r="A8" s="85">
        <v>2</v>
      </c>
      <c r="B8" s="81" t="s">
        <v>42</v>
      </c>
      <c r="C8" s="81" t="s">
        <v>65</v>
      </c>
    </row>
    <row r="10" ht="12.75">
      <c r="A10" s="4" t="s">
        <v>23</v>
      </c>
    </row>
    <row r="11" spans="1:13" ht="11.25">
      <c r="A11" s="84">
        <v>1</v>
      </c>
      <c r="B11" s="251" t="str">
        <f>VLOOKUP(Configurator!$P$8,Database!$C$70:$AL$80,2,FALSE)</f>
        <v>Стандартные</v>
      </c>
      <c r="C11" s="252">
        <f>VLOOKUP(Configurator!$P$8,Database!$C$70:$AL$80,19,FALSE)</f>
        <v>1</v>
      </c>
      <c r="G11" s="73">
        <v>1</v>
      </c>
      <c r="H11" s="73">
        <v>6</v>
      </c>
      <c r="I11" s="73">
        <v>7</v>
      </c>
      <c r="J11" t="s">
        <v>0</v>
      </c>
      <c r="K11" t="s">
        <v>31</v>
      </c>
      <c r="L11" t="s">
        <v>83</v>
      </c>
      <c r="M11" s="73" t="s">
        <v>163</v>
      </c>
    </row>
    <row r="12" spans="1:13" ht="11.25">
      <c r="A12" s="86">
        <v>2</v>
      </c>
      <c r="B12" s="206" t="str">
        <f>VLOOKUP(Configurator!$P$8,Database!$C$70:$AL$80,3,FALSE)</f>
        <v>Только модулированная плата IRIG-B </v>
      </c>
      <c r="C12" s="253">
        <f>VLOOKUP(Configurator!$P$8,Database!$C$70:$AL$80,20,FALSE)</f>
        <v>2</v>
      </c>
      <c r="G12" s="74" t="s">
        <v>35</v>
      </c>
      <c r="H12" s="256" t="str">
        <f>HLOOKUP($B$64,'Date Drivers'!$B$2:$D$94,46)</f>
        <v>IEC 61850 по Ethernet и Courier по заднему K-Bus/RS485</v>
      </c>
      <c r="I12" s="74" t="s">
        <v>35</v>
      </c>
      <c r="J12" s="256" t="str">
        <f>HLOOKUP($B$64,'Date Drivers'!$B$2:$D$94,46)</f>
        <v>IEC 61850 по Ethernet и Courier по заднему K-Bus/RS485</v>
      </c>
      <c r="K12" s="74" t="s">
        <v>35</v>
      </c>
      <c r="L12" s="256" t="str">
        <f>HLOOKUP($B$64,'Date Drivers'!$B$2:$D$94,46)</f>
        <v>IEC 61850 по Ethernet и Courier по заднему K-Bus/RS485</v>
      </c>
      <c r="M12" s="74" t="s">
        <v>164</v>
      </c>
    </row>
    <row r="13" spans="1:13" ht="11.25">
      <c r="A13" s="86">
        <v>3</v>
      </c>
      <c r="B13" s="206" t="str">
        <f>VLOOKUP(Configurator!$P$8,Database!$C$70:$AL$80,4,FALSE)</f>
        <v>Только оптический конвертор</v>
      </c>
      <c r="C13" s="253">
        <f>VLOOKUP(Configurator!$P$8,Database!$C$70:$AL$80,21,FALSE)</f>
        <v>3</v>
      </c>
      <c r="G13" s="77" t="s">
        <v>36</v>
      </c>
      <c r="H13" s="257" t="str">
        <f>HLOOKUP($B$64,'Date Drivers'!$B$2:$D$94,47)</f>
        <v>DNP3.0 по Ethernet и Courier по заднему K-Bus/RS485</v>
      </c>
      <c r="I13" s="77" t="s">
        <v>36</v>
      </c>
      <c r="J13" s="257" t="str">
        <f>HLOOKUP($B$64,'Date Drivers'!$B$2:$D$94,47)</f>
        <v>DNP3.0 по Ethernet и Courier по заднему K-Bus/RS485</v>
      </c>
      <c r="K13" s="77" t="s">
        <v>36</v>
      </c>
      <c r="L13" s="257" t="str">
        <f>HLOOKUP($B$64,'Date Drivers'!$B$2:$D$94,47)</f>
        <v>DNP3.0 по Ethernet и Courier по заднему K-Bus/RS485</v>
      </c>
      <c r="M13" s="77" t="s">
        <v>13</v>
      </c>
    </row>
    <row r="14" spans="1:13" ht="11.25">
      <c r="A14" s="86">
        <v>4</v>
      </c>
      <c r="B14" s="206" t="str">
        <f>VLOOKUP(Configurator!$P$8,Database!$C$70:$AL$80,5,FALSE)</f>
        <v>Модулированная плата IRIG-B  &amp;  оптический конвертор </v>
      </c>
      <c r="C14" s="253">
        <f>VLOOKUP(Configurator!$P$8,Database!$C$70:$AL$80,22,FALSE)</f>
        <v>4</v>
      </c>
      <c r="G14" s="77" t="s">
        <v>37</v>
      </c>
      <c r="H14" s="77" t="s">
        <v>13</v>
      </c>
      <c r="I14" s="77" t="s">
        <v>37</v>
      </c>
      <c r="J14" s="77" t="s">
        <v>13</v>
      </c>
      <c r="K14" s="77" t="s">
        <v>37</v>
      </c>
      <c r="L14" s="77" t="s">
        <v>13</v>
      </c>
      <c r="M14" s="77" t="s">
        <v>13</v>
      </c>
    </row>
    <row r="15" spans="1:13" ht="11.25">
      <c r="A15" s="86">
        <v>5</v>
      </c>
      <c r="B15" s="206" t="str">
        <f>VLOOKUP(Configurator!$P$8,Database!$C$70:$AL$80,6,FALSE)</f>
        <v>Второй задний порт (Courier EIA232/EIA485/k-bus)</v>
      </c>
      <c r="C15" s="253">
        <f>VLOOKUP(Configurator!$P$8,Database!$C$70:$AL$80,23,FALSE)</f>
        <v>7</v>
      </c>
      <c r="G15" s="77" t="s">
        <v>38</v>
      </c>
      <c r="H15" s="77" t="s">
        <v>13</v>
      </c>
      <c r="I15" s="77" t="s">
        <v>38</v>
      </c>
      <c r="J15" s="77" t="s">
        <v>13</v>
      </c>
      <c r="K15" s="77" t="s">
        <v>38</v>
      </c>
      <c r="L15" s="77" t="s">
        <v>13</v>
      </c>
      <c r="M15" s="77" t="s">
        <v>13</v>
      </c>
    </row>
    <row r="16" spans="1:13" ht="11.25">
      <c r="A16" s="86">
        <v>6</v>
      </c>
      <c r="B16" s="206" t="str">
        <f>VLOOKUP(Configurator!$P$8,Database!$C$70:$AL$80,7,FALSE)</f>
        <v>Второй задний порт + модулированная плата IRIG-B (Courier EIA232/EIA485/k-bus)</v>
      </c>
      <c r="C16" s="253">
        <f>VLOOKUP(Configurator!$P$8,Database!$C$70:$AL$80,24,FALSE)</f>
        <v>8</v>
      </c>
      <c r="G16" s="74">
        <v>1</v>
      </c>
      <c r="H16" s="256">
        <f>HLOOKUP($B$64,'Date Drivers'!$B$2:$D$94,52)</f>
        <v>6</v>
      </c>
      <c r="I16" s="74">
        <v>1</v>
      </c>
      <c r="J16" s="256">
        <f>HLOOKUP($B$64,'Date Drivers'!$B$2:$D$94,52)</f>
        <v>6</v>
      </c>
      <c r="K16" s="74">
        <v>1</v>
      </c>
      <c r="L16" s="256">
        <f>HLOOKUP($B$64,'Date Drivers'!$B$2:$D$94,52)</f>
        <v>6</v>
      </c>
      <c r="M16" s="74">
        <v>6</v>
      </c>
    </row>
    <row r="17" spans="1:13" ht="11.25">
      <c r="A17" s="86">
        <v>7</v>
      </c>
      <c r="B17" s="206" t="str">
        <f>VLOOKUP(Configurator!$P$8,Database!$C$70:$AL$80,8,FALSE)</f>
        <v>Резервированное подключение по Ethernet (100Mbit/s) PRP или HSR и Двойной IP адрес, 2 LC порта + 1 порт RJ45</v>
      </c>
      <c r="C17" s="253" t="str">
        <f>VLOOKUP(Configurator!$P$8,Database!$C$70:$AL$80,25,FALSE)</f>
        <v>Q</v>
      </c>
      <c r="G17" s="77">
        <v>2</v>
      </c>
      <c r="H17" s="257">
        <f>HLOOKUP($B$64,'Date Drivers'!$B$2:$D$94,53)</f>
        <v>8</v>
      </c>
      <c r="I17" s="77">
        <v>2</v>
      </c>
      <c r="J17" s="257">
        <f>HLOOKUP($B$64,'Date Drivers'!$B$2:$D$94,53)</f>
        <v>8</v>
      </c>
      <c r="K17" s="77">
        <v>2</v>
      </c>
      <c r="L17" s="257">
        <f>HLOOKUP($B$64,'Date Drivers'!$B$2:$D$94,53)</f>
        <v>8</v>
      </c>
      <c r="M17" s="77">
        <v>6</v>
      </c>
    </row>
    <row r="18" spans="1:13" ht="11.25">
      <c r="A18" s="86">
        <v>8</v>
      </c>
      <c r="B18" s="206" t="str">
        <f>VLOOKUP(Configurator!$P$8,Database!$C$70:$AL$80,9,FALSE)</f>
        <v>Резервированное подключение по Ethernet (100Mbit/s) PRP или HSR и Двойной IP адрес, 3 порта RJ45 + модулированная/ немодулированная плата IRIG-B</v>
      </c>
      <c r="C18" s="253" t="str">
        <f>VLOOKUP(Configurator!$P$8,Database!$C$70:$AL$80,26,FALSE)</f>
        <v>R</v>
      </c>
      <c r="G18" s="77">
        <v>3</v>
      </c>
      <c r="H18" s="257">
        <f>HLOOKUP($B$64,'Date Drivers'!$B$2:$D$94,53)</f>
        <v>8</v>
      </c>
      <c r="I18" s="77">
        <v>3</v>
      </c>
      <c r="J18" s="257">
        <f>HLOOKUP($B$64,'Date Drivers'!$B$2:$D$94,53)</f>
        <v>8</v>
      </c>
      <c r="K18" s="77">
        <v>3</v>
      </c>
      <c r="L18" s="257">
        <f>HLOOKUP($B$64,'Date Drivers'!$B$2:$D$94,53)</f>
        <v>8</v>
      </c>
      <c r="M18" s="77">
        <v>6</v>
      </c>
    </row>
    <row r="19" spans="1:13" ht="11.25">
      <c r="A19" s="86">
        <v>9</v>
      </c>
      <c r="B19" s="206" t="str">
        <f>VLOOKUP(Configurator!$P$8,Database!$C$70:$AL$80,10,FALSE)</f>
        <v>Подключение по Ethernet (100Mbit/s), 1 порт RJ45 + модулированная/ немодулированная плата IRIG-B</v>
      </c>
      <c r="C19" s="253" t="str">
        <f>VLOOKUP(Configurator!$P$8,Database!$C$70:$AL$80,27,FALSE)</f>
        <v>S</v>
      </c>
      <c r="G19" s="80">
        <v>4</v>
      </c>
      <c r="H19" s="258">
        <f>HLOOKUP($B$64,'Date Drivers'!$B$2:$D$94,53)</f>
        <v>8</v>
      </c>
      <c r="I19" s="80">
        <v>4</v>
      </c>
      <c r="J19" s="258">
        <f>HLOOKUP($B$64,'Date Drivers'!$B$2:$D$94,53)</f>
        <v>8</v>
      </c>
      <c r="K19" s="80">
        <v>4</v>
      </c>
      <c r="L19" s="258">
        <f>HLOOKUP($B$64,'Date Drivers'!$B$2:$D$94,53)</f>
        <v>8</v>
      </c>
      <c r="M19" s="80">
        <v>6</v>
      </c>
    </row>
    <row r="20" spans="1:3" ht="11.25">
      <c r="A20" s="86">
        <v>10</v>
      </c>
      <c r="B20" s="206" t="str">
        <f>VLOOKUP(Configurator!$P$8,Database!$C$70:$AL$80,11,FALSE)</f>
        <v> </v>
      </c>
      <c r="C20" s="253" t="str">
        <f>VLOOKUP(Configurator!$P$8,Database!$C$70:$AL$80,28,FALSE)</f>
        <v>S</v>
      </c>
    </row>
    <row r="21" spans="1:3" ht="11.25">
      <c r="A21" s="86">
        <v>11</v>
      </c>
      <c r="B21" s="206" t="str">
        <f>VLOOKUP(Configurator!$P$8,Database!$C$70:$AL$80,12,FALSE)</f>
        <v> </v>
      </c>
      <c r="C21" s="253" t="str">
        <f>VLOOKUP(Configurator!$P$8,Database!$C$70:$AL$80,29,FALSE)</f>
        <v>S</v>
      </c>
    </row>
    <row r="22" spans="1:3" ht="11.25">
      <c r="A22" s="86">
        <v>12</v>
      </c>
      <c r="B22" s="206" t="str">
        <f>VLOOKUP(Configurator!$P$8,Database!$C$70:$AL$80,13,FALSE)</f>
        <v> </v>
      </c>
      <c r="C22" s="253" t="str">
        <f>VLOOKUP(Configurator!$P$8,Database!$C$70:$AL$80,30,FALSE)</f>
        <v>S</v>
      </c>
    </row>
    <row r="23" spans="1:3" ht="11.25">
      <c r="A23" s="86">
        <v>13</v>
      </c>
      <c r="B23" s="206" t="str">
        <f>VLOOKUP(Configurator!$P$8,Database!$C$70:$AL$80,14,FALSE)</f>
        <v> </v>
      </c>
      <c r="C23" s="253" t="str">
        <f>VLOOKUP(Configurator!$P$8,Database!$C$70:$AL$80,31,FALSE)</f>
        <v>S</v>
      </c>
    </row>
    <row r="24" spans="1:3" ht="11.25">
      <c r="A24" s="86">
        <v>14</v>
      </c>
      <c r="B24" s="206" t="str">
        <f>VLOOKUP(Configurator!$P$8,Database!$C$70:$AL$80,15,FALSE)</f>
        <v> </v>
      </c>
      <c r="C24" s="253" t="str">
        <f>VLOOKUP(Configurator!$P$8,Database!$C$70:$AL$80,32,FALSE)</f>
        <v>S</v>
      </c>
    </row>
    <row r="25" spans="1:3" ht="11.25">
      <c r="A25" s="86">
        <v>15</v>
      </c>
      <c r="B25" s="206" t="str">
        <f>VLOOKUP(Configurator!$P$8,Database!$C$70:$AL$80,16,FALSE)</f>
        <v> </v>
      </c>
      <c r="C25" s="253" t="str">
        <f>VLOOKUP(Configurator!$P$8,Database!$C$70:$AL$80,33,FALSE)</f>
        <v>S</v>
      </c>
    </row>
    <row r="26" spans="1:6" ht="11.25">
      <c r="A26" s="86">
        <v>16</v>
      </c>
      <c r="B26" s="206" t="str">
        <f>VLOOKUP(Configurator!$P$8,Database!$C$70:$AL$80,17,FALSE)</f>
        <v> </v>
      </c>
      <c r="C26" s="253" t="str">
        <f>VLOOKUP(Configurator!$P$8,Database!$C$70:$AL$80,34,FALSE)</f>
        <v>S</v>
      </c>
      <c r="F26" t="s">
        <v>159</v>
      </c>
    </row>
    <row r="27" spans="1:6" ht="11.25">
      <c r="A27" s="85">
        <v>17</v>
      </c>
      <c r="B27" s="207" t="str">
        <f>VLOOKUP(Configurator!$P$8,Database!$C$70:$AL$80,18,FALSE)</f>
        <v> </v>
      </c>
      <c r="C27" s="254" t="str">
        <f>VLOOKUP(Configurator!$P$8,Database!$C$70:$AL$80,35,FALSE)</f>
        <v>S</v>
      </c>
      <c r="F27" t="s">
        <v>160</v>
      </c>
    </row>
    <row r="29" spans="1:8" ht="12.75">
      <c r="A29" s="13" t="s">
        <v>25</v>
      </c>
      <c r="C29" s="89"/>
      <c r="H29" s="88"/>
    </row>
    <row r="30" spans="1:8" ht="11.25">
      <c r="A30" s="74">
        <v>1</v>
      </c>
      <c r="B30" s="75" t="s">
        <v>127</v>
      </c>
      <c r="C30" s="76" t="s">
        <v>0</v>
      </c>
      <c r="D30" s="73" t="s">
        <v>50</v>
      </c>
      <c r="G30" s="90"/>
      <c r="H30" s="88"/>
    </row>
    <row r="31" spans="1:8" ht="11.25">
      <c r="A31" s="77">
        <v>2</v>
      </c>
      <c r="B31" s="78" t="s">
        <v>126</v>
      </c>
      <c r="C31" s="79" t="s">
        <v>33</v>
      </c>
      <c r="D31" s="73" t="s">
        <v>51</v>
      </c>
      <c r="H31" s="88"/>
    </row>
    <row r="32" spans="1:8" ht="11.25">
      <c r="A32" s="77">
        <v>3</v>
      </c>
      <c r="B32" s="78" t="s">
        <v>125</v>
      </c>
      <c r="C32" s="79" t="s">
        <v>31</v>
      </c>
      <c r="D32" s="73" t="s">
        <v>52</v>
      </c>
      <c r="H32" s="88"/>
    </row>
    <row r="33" spans="1:8" ht="11.25">
      <c r="A33" s="77">
        <v>4</v>
      </c>
      <c r="B33" s="78" t="s">
        <v>124</v>
      </c>
      <c r="C33" s="79" t="s">
        <v>34</v>
      </c>
      <c r="D33" s="73" t="s">
        <v>53</v>
      </c>
      <c r="F33" s="186"/>
      <c r="H33" s="88"/>
    </row>
    <row r="34" spans="1:8" ht="11.25">
      <c r="A34" s="77">
        <v>5</v>
      </c>
      <c r="B34" s="78" t="s">
        <v>123</v>
      </c>
      <c r="C34" s="79" t="s">
        <v>48</v>
      </c>
      <c r="D34" s="73" t="s">
        <v>54</v>
      </c>
      <c r="H34" s="88"/>
    </row>
    <row r="35" spans="1:8" ht="11.25">
      <c r="A35" s="80">
        <v>6</v>
      </c>
      <c r="B35" s="81" t="s">
        <v>122</v>
      </c>
      <c r="C35" s="82" t="s">
        <v>67</v>
      </c>
      <c r="D35" s="73" t="s">
        <v>70</v>
      </c>
      <c r="H35" s="91"/>
    </row>
    <row r="36" spans="1:8" ht="11.25">
      <c r="A36" s="92"/>
      <c r="B36" s="88"/>
      <c r="C36" s="91"/>
      <c r="H36" s="91"/>
    </row>
    <row r="37" spans="1:8" ht="11.25">
      <c r="A37" s="92"/>
      <c r="B37" s="88"/>
      <c r="C37" s="91"/>
      <c r="H37" s="91"/>
    </row>
    <row r="38" spans="1:8" ht="12.75">
      <c r="A38" s="4" t="s">
        <v>24</v>
      </c>
      <c r="F38"/>
      <c r="H38" s="91"/>
    </row>
    <row r="39" spans="1:8" ht="11.25">
      <c r="A39" s="74">
        <v>1</v>
      </c>
      <c r="B39" s="95" t="str">
        <f>HLOOKUP(Configurator!$K$18,Database!$G$11:$M$19,2)</f>
        <v>K-Bus/Courier</v>
      </c>
      <c r="C39" s="95">
        <f>HLOOKUP(Configurator!$K$18,Database!$G$11:$M$19,6)</f>
        <v>1</v>
      </c>
      <c r="F39"/>
      <c r="H39" s="91"/>
    </row>
    <row r="40" spans="1:8" ht="11.25">
      <c r="A40" s="77">
        <v>2</v>
      </c>
      <c r="B40" s="96" t="str">
        <f>HLOOKUP(Configurator!$K$18,Database!$G$11:$M$19,3)</f>
        <v>Modbus</v>
      </c>
      <c r="C40" s="96">
        <f>HLOOKUP(Configurator!$K$18,Database!$G$11:$M$19,7)</f>
        <v>2</v>
      </c>
      <c r="F40"/>
      <c r="H40" s="91"/>
    </row>
    <row r="41" spans="1:8" ht="11.25">
      <c r="A41" s="77">
        <v>3</v>
      </c>
      <c r="B41" s="96" t="str">
        <f>HLOOKUP(Configurator!$K$18,Database!$G$11:$M$19,4)</f>
        <v>IEC60870-5-103</v>
      </c>
      <c r="C41" s="96">
        <f>HLOOKUP(Configurator!$K$18,Database!$G$11:$M$19,8)</f>
        <v>3</v>
      </c>
      <c r="F41"/>
      <c r="H41" s="91"/>
    </row>
    <row r="42" spans="1:8" ht="11.25">
      <c r="A42" s="80">
        <v>4</v>
      </c>
      <c r="B42" s="97" t="str">
        <f>HLOOKUP(Configurator!$K$18,Database!$G$11:$M$19,5)</f>
        <v>DNP3.0</v>
      </c>
      <c r="C42" s="97">
        <f>HLOOKUP(Configurator!$K$18,Database!$G$11:$M$19,9)</f>
        <v>4</v>
      </c>
      <c r="F42"/>
      <c r="H42" s="91"/>
    </row>
    <row r="43" ht="11.25">
      <c r="F43"/>
    </row>
    <row r="44" spans="1:6" ht="12.75">
      <c r="A44" s="4" t="s">
        <v>26</v>
      </c>
      <c r="F44"/>
    </row>
    <row r="45" spans="1:6" ht="11.25">
      <c r="A45" s="84">
        <v>1</v>
      </c>
      <c r="B45" s="75" t="s">
        <v>116</v>
      </c>
      <c r="C45" s="76">
        <v>0</v>
      </c>
      <c r="F45"/>
    </row>
    <row r="46" spans="1:6" ht="12.75">
      <c r="A46" s="86">
        <v>2</v>
      </c>
      <c r="B46" s="78" t="s">
        <v>115</v>
      </c>
      <c r="C46" s="79">
        <v>5</v>
      </c>
      <c r="E46" s="98"/>
      <c r="F46" s="98"/>
    </row>
    <row r="47" spans="1:3" ht="11.25">
      <c r="A47" s="85">
        <v>3</v>
      </c>
      <c r="B47" s="81" t="s">
        <v>114</v>
      </c>
      <c r="C47" s="82" t="s">
        <v>31</v>
      </c>
    </row>
    <row r="49" spans="1:4" ht="12.75">
      <c r="A49" s="4" t="s">
        <v>28</v>
      </c>
      <c r="C49" s="73" t="s">
        <v>71</v>
      </c>
      <c r="D49"/>
    </row>
    <row r="50" spans="1:6" ht="12.75">
      <c r="A50" s="74">
        <v>1</v>
      </c>
      <c r="B50" s="244" t="str">
        <f>VLOOKUP(Tendering!$B$17,Database!$A$60:$J$61,4,FALSE)</f>
        <v>B1 : HSR / IEC61850 Редакция 2</v>
      </c>
      <c r="C50" s="245" t="str">
        <f>VLOOKUP(Tendering!$B$17,Database!$A$60:$J$61,8,FALSE)</f>
        <v>B1</v>
      </c>
      <c r="D50" s="246" t="str">
        <f>IF(OR($C$49="B0",Configurator!$H$25="C"),"Доступен только на производственной площадке SMC"," ")</f>
        <v> </v>
      </c>
      <c r="F50"/>
    </row>
    <row r="51" spans="1:4" ht="12.75">
      <c r="A51" s="80">
        <v>2</v>
      </c>
      <c r="B51" s="247" t="str">
        <f>VLOOKUP(Tendering!$B$17,Database!$A$60:$J$61,5,FALSE)</f>
        <v>A1</v>
      </c>
      <c r="C51" s="248" t="str">
        <f>VLOOKUP(Tendering!$B$17,Database!$A$60:$J$61,9,FALSE)</f>
        <v>A1</v>
      </c>
      <c r="D51" s="246" t="str">
        <f>IF(OR($C$49="B0",Configurator!$H$25="C"),"Доступен только на производственной площадке SMC"," ")</f>
        <v> </v>
      </c>
    </row>
    <row r="52" spans="1:4" ht="12.75">
      <c r="A52" s="80">
        <v>3</v>
      </c>
      <c r="B52" s="247" t="str">
        <f>VLOOKUP(Tendering!$B$17,Database!$A$60:$J$61,6,FALSE)</f>
        <v> </v>
      </c>
      <c r="C52" s="248" t="str">
        <f>VLOOKUP(Tendering!$B$17,Database!$A$60:$J$61,10,FALSE)</f>
        <v>A1</v>
      </c>
      <c r="D52" s="246" t="str">
        <f>IF(OR($C$49="B0",Configurator!$H$25="C"),"Доступен только на производственной площадке SMC"," ")</f>
        <v> </v>
      </c>
    </row>
    <row r="53" spans="1:9" ht="12.75" customHeight="1">
      <c r="A53" s="80">
        <v>4</v>
      </c>
      <c r="B53" s="249" t="str">
        <f>VLOOKUP(Tendering!$B$17,Database!$A$60:$J$61,7,FALSE)</f>
        <v> </v>
      </c>
      <c r="C53" s="250" t="str">
        <f>VLOOKUP(Tendering!$B$17,Database!$A$60:$K$61,11,FALSE)</f>
        <v>A1</v>
      </c>
      <c r="D53" s="246" t="str">
        <f>IF(OR($C$49="B0",Configurator!$H$25="C"),"Доступен только на производственной площадке SMC"," ")</f>
        <v> </v>
      </c>
      <c r="G53" s="98"/>
      <c r="H53" s="98"/>
      <c r="I53" s="98"/>
    </row>
    <row r="54" spans="7:9" ht="12.75" customHeight="1">
      <c r="G54" s="98"/>
      <c r="H54" s="98"/>
      <c r="I54" s="98"/>
    </row>
    <row r="55" spans="1:3" ht="12.75">
      <c r="A55" s="4" t="s">
        <v>27</v>
      </c>
      <c r="C55" s="89"/>
    </row>
    <row r="56" spans="1:3" ht="11.25">
      <c r="A56" s="74">
        <v>1</v>
      </c>
      <c r="B56" s="75" t="s">
        <v>111</v>
      </c>
      <c r="C56" s="76">
        <v>8</v>
      </c>
    </row>
    <row r="57" spans="1:3" ht="11.25">
      <c r="A57" s="80">
        <v>2</v>
      </c>
      <c r="B57" s="81" t="s">
        <v>110</v>
      </c>
      <c r="C57" s="82">
        <v>9</v>
      </c>
    </row>
    <row r="59" spans="1:3" ht="12.75">
      <c r="A59" s="4" t="s">
        <v>63</v>
      </c>
      <c r="C59" s="89"/>
    </row>
    <row r="60" spans="1:38" ht="11.25">
      <c r="A60" s="74">
        <v>1</v>
      </c>
      <c r="B60" s="81" t="s">
        <v>166</v>
      </c>
      <c r="C60" s="75" t="s">
        <v>20</v>
      </c>
      <c r="D60" s="242" t="s">
        <v>199</v>
      </c>
      <c r="E60" s="242" t="s">
        <v>195</v>
      </c>
      <c r="F60" s="73" t="s">
        <v>13</v>
      </c>
      <c r="G60" s="73" t="s">
        <v>13</v>
      </c>
      <c r="H60" s="243" t="s">
        <v>198</v>
      </c>
      <c r="I60" s="261" t="s">
        <v>195</v>
      </c>
      <c r="J60" s="261" t="s">
        <v>195</v>
      </c>
      <c r="K60" s="261" t="s">
        <v>195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1.25">
      <c r="A61" s="80">
        <v>2</v>
      </c>
      <c r="B61" s="81" t="s">
        <v>165</v>
      </c>
      <c r="C61" s="75" t="s">
        <v>49</v>
      </c>
      <c r="D61" s="242" t="s">
        <v>162</v>
      </c>
      <c r="E61" t="s">
        <v>82</v>
      </c>
      <c r="F61" t="s">
        <v>87</v>
      </c>
      <c r="G61" t="s">
        <v>71</v>
      </c>
      <c r="H61" s="242" t="s">
        <v>162</v>
      </c>
      <c r="I61" s="242" t="s">
        <v>82</v>
      </c>
      <c r="J61" s="242" t="s">
        <v>88</v>
      </c>
      <c r="K61" s="242" t="s">
        <v>71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4:38" ht="11.25"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4" ht="11.25">
      <c r="B64" s="260">
        <f>VLOOKUP(Configurator!H12,Database!A65:B68,2)</f>
        <v>39870</v>
      </c>
    </row>
    <row r="65" spans="1:2" ht="11.25">
      <c r="A65" s="94" t="s">
        <v>56</v>
      </c>
      <c r="B65" s="93">
        <v>39814</v>
      </c>
    </row>
    <row r="66" spans="1:2" ht="11.25">
      <c r="A66" s="94" t="s">
        <v>71</v>
      </c>
      <c r="B66" s="93">
        <v>39870</v>
      </c>
    </row>
    <row r="67" spans="1:2" ht="11.25">
      <c r="A67" s="259" t="s">
        <v>195</v>
      </c>
      <c r="B67" s="93">
        <v>41934</v>
      </c>
    </row>
    <row r="68" spans="1:2" ht="11.25">
      <c r="A68" s="259" t="s">
        <v>198</v>
      </c>
      <c r="B68" s="93">
        <v>39870</v>
      </c>
    </row>
    <row r="74" spans="2:11" ht="11.25">
      <c r="B74" s="75" t="s">
        <v>166</v>
      </c>
      <c r="C74" s="75" t="s">
        <v>20</v>
      </c>
      <c r="D74" t="s">
        <v>167</v>
      </c>
      <c r="E74" s="242" t="s">
        <v>13</v>
      </c>
      <c r="F74" s="242" t="s">
        <v>13</v>
      </c>
      <c r="G74" s="242" t="s">
        <v>13</v>
      </c>
      <c r="H74" s="242" t="s">
        <v>167</v>
      </c>
      <c r="I74" s="242" t="s">
        <v>167</v>
      </c>
      <c r="J74" s="242" t="s">
        <v>167</v>
      </c>
      <c r="K74" s="242" t="s">
        <v>167</v>
      </c>
    </row>
    <row r="78" spans="3:37" ht="11.25">
      <c r="C78" s="73" t="s">
        <v>198</v>
      </c>
      <c r="D78" t="s">
        <v>168</v>
      </c>
      <c r="E78" t="s">
        <v>169</v>
      </c>
      <c r="F78" t="s">
        <v>149</v>
      </c>
      <c r="G78" t="s">
        <v>170</v>
      </c>
      <c r="H78" t="s">
        <v>146</v>
      </c>
      <c r="I78" t="s">
        <v>145</v>
      </c>
      <c r="J78" t="s">
        <v>171</v>
      </c>
      <c r="K78" t="s">
        <v>172</v>
      </c>
      <c r="L78" t="s">
        <v>173</v>
      </c>
      <c r="M78" s="73" t="s">
        <v>13</v>
      </c>
      <c r="N78" s="73" t="s">
        <v>13</v>
      </c>
      <c r="O78" s="73" t="s">
        <v>13</v>
      </c>
      <c r="P78" s="73" t="s">
        <v>13</v>
      </c>
      <c r="Q78" s="73" t="s">
        <v>13</v>
      </c>
      <c r="R78" s="73" t="s">
        <v>13</v>
      </c>
      <c r="S78" s="73" t="s">
        <v>13</v>
      </c>
      <c r="T78" s="73" t="s">
        <v>13</v>
      </c>
      <c r="U78" s="73">
        <v>1</v>
      </c>
      <c r="V78" s="73">
        <v>2</v>
      </c>
      <c r="W78" s="73">
        <v>3</v>
      </c>
      <c r="X78" s="73">
        <v>4</v>
      </c>
      <c r="Y78" s="73">
        <v>7</v>
      </c>
      <c r="Z78" s="73">
        <v>8</v>
      </c>
      <c r="AA78" s="73" t="s">
        <v>163</v>
      </c>
      <c r="AB78" s="73" t="s">
        <v>174</v>
      </c>
      <c r="AC78" s="73" t="s">
        <v>175</v>
      </c>
      <c r="AD78" s="73" t="s">
        <v>175</v>
      </c>
      <c r="AE78" s="73" t="s">
        <v>175</v>
      </c>
      <c r="AF78" s="73" t="s">
        <v>175</v>
      </c>
      <c r="AG78" s="73" t="s">
        <v>175</v>
      </c>
      <c r="AH78" s="73" t="s">
        <v>175</v>
      </c>
      <c r="AI78" s="73" t="s">
        <v>175</v>
      </c>
      <c r="AJ78" s="73" t="s">
        <v>175</v>
      </c>
      <c r="AK78" s="73" t="s">
        <v>175</v>
      </c>
    </row>
    <row r="79" spans="1:37" ht="11.25">
      <c r="A79" s="255"/>
      <c r="B79" s="255"/>
      <c r="C79" s="242" t="s">
        <v>195</v>
      </c>
      <c r="D79" t="s">
        <v>176</v>
      </c>
      <c r="E79" t="s">
        <v>177</v>
      </c>
      <c r="F79" t="s">
        <v>143</v>
      </c>
      <c r="G79" t="s">
        <v>178</v>
      </c>
      <c r="H79" t="s">
        <v>179</v>
      </c>
      <c r="I79" t="s">
        <v>180</v>
      </c>
      <c r="J79" t="s">
        <v>181</v>
      </c>
      <c r="K79" t="s">
        <v>182</v>
      </c>
      <c r="L79" t="s">
        <v>183</v>
      </c>
      <c r="M79" t="s">
        <v>184</v>
      </c>
      <c r="N79" t="s">
        <v>185</v>
      </c>
      <c r="O79" s="242" t="s">
        <v>13</v>
      </c>
      <c r="P79" s="242" t="s">
        <v>13</v>
      </c>
      <c r="Q79" s="242" t="s">
        <v>13</v>
      </c>
      <c r="R79" s="242" t="s">
        <v>13</v>
      </c>
      <c r="S79" s="242" t="s">
        <v>13</v>
      </c>
      <c r="T79" s="242" t="s">
        <v>13</v>
      </c>
      <c r="U79">
        <v>6</v>
      </c>
      <c r="V79" t="s">
        <v>0</v>
      </c>
      <c r="W79" t="s">
        <v>33</v>
      </c>
      <c r="X79" t="s">
        <v>83</v>
      </c>
      <c r="Y79" t="s">
        <v>84</v>
      </c>
      <c r="Z79" t="s">
        <v>85</v>
      </c>
      <c r="AA79" t="s">
        <v>49</v>
      </c>
      <c r="AB79" t="s">
        <v>86</v>
      </c>
      <c r="AC79" t="s">
        <v>20</v>
      </c>
      <c r="AD79" t="s">
        <v>108</v>
      </c>
      <c r="AE79" t="s">
        <v>80</v>
      </c>
      <c r="AF79" t="s">
        <v>80</v>
      </c>
      <c r="AG79" t="s">
        <v>80</v>
      </c>
      <c r="AH79" t="s">
        <v>80</v>
      </c>
      <c r="AI79" t="s">
        <v>80</v>
      </c>
      <c r="AJ79" t="s">
        <v>80</v>
      </c>
      <c r="AK79" t="s">
        <v>80</v>
      </c>
    </row>
    <row r="80" spans="3:37" ht="11.25">
      <c r="C80" s="242" t="s">
        <v>162</v>
      </c>
      <c r="D80" t="s">
        <v>168</v>
      </c>
      <c r="E80" t="s">
        <v>169</v>
      </c>
      <c r="F80" t="s">
        <v>149</v>
      </c>
      <c r="G80" t="s">
        <v>170</v>
      </c>
      <c r="H80" t="s">
        <v>176</v>
      </c>
      <c r="I80" t="s">
        <v>146</v>
      </c>
      <c r="J80" t="s">
        <v>145</v>
      </c>
      <c r="K80" t="s">
        <v>177</v>
      </c>
      <c r="L80" t="s">
        <v>143</v>
      </c>
      <c r="M80" t="s">
        <v>178</v>
      </c>
      <c r="N80" t="s">
        <v>179</v>
      </c>
      <c r="O80" t="s">
        <v>180</v>
      </c>
      <c r="P80" t="s">
        <v>181</v>
      </c>
      <c r="Q80" t="s">
        <v>182</v>
      </c>
      <c r="R80" t="s">
        <v>183</v>
      </c>
      <c r="S80" t="s">
        <v>184</v>
      </c>
      <c r="T80" t="s">
        <v>185</v>
      </c>
      <c r="U80">
        <v>1</v>
      </c>
      <c r="V80">
        <v>2</v>
      </c>
      <c r="W80">
        <v>3</v>
      </c>
      <c r="X80">
        <v>4</v>
      </c>
      <c r="Y80">
        <v>6</v>
      </c>
      <c r="Z80">
        <v>7</v>
      </c>
      <c r="AA80">
        <v>8</v>
      </c>
      <c r="AB80" t="s">
        <v>0</v>
      </c>
      <c r="AC80" t="s">
        <v>33</v>
      </c>
      <c r="AD80" t="s">
        <v>83</v>
      </c>
      <c r="AE80" t="s">
        <v>84</v>
      </c>
      <c r="AF80" t="s">
        <v>85</v>
      </c>
      <c r="AG80" t="s">
        <v>49</v>
      </c>
      <c r="AH80" t="s">
        <v>86</v>
      </c>
      <c r="AI80" t="s">
        <v>20</v>
      </c>
      <c r="AJ80" t="s">
        <v>108</v>
      </c>
      <c r="AK80" t="s">
        <v>80</v>
      </c>
    </row>
    <row r="81" spans="3:37" ht="11.25">
      <c r="C81" s="242" t="s">
        <v>82</v>
      </c>
      <c r="D81" t="s">
        <v>168</v>
      </c>
      <c r="E81" t="s">
        <v>169</v>
      </c>
      <c r="F81" t="s">
        <v>149</v>
      </c>
      <c r="G81" t="s">
        <v>170</v>
      </c>
      <c r="H81" t="s">
        <v>176</v>
      </c>
      <c r="I81" t="s">
        <v>146</v>
      </c>
      <c r="J81" t="s">
        <v>145</v>
      </c>
      <c r="K81" t="s">
        <v>177</v>
      </c>
      <c r="L81" t="s">
        <v>143</v>
      </c>
      <c r="M81" t="s">
        <v>178</v>
      </c>
      <c r="N81" t="s">
        <v>179</v>
      </c>
      <c r="O81" t="s">
        <v>180</v>
      </c>
      <c r="P81" t="s">
        <v>181</v>
      </c>
      <c r="Q81" t="s">
        <v>182</v>
      </c>
      <c r="R81" t="s">
        <v>183</v>
      </c>
      <c r="S81" t="s">
        <v>184</v>
      </c>
      <c r="T81" t="s">
        <v>185</v>
      </c>
      <c r="U81">
        <v>1</v>
      </c>
      <c r="V81">
        <v>2</v>
      </c>
      <c r="W81">
        <v>3</v>
      </c>
      <c r="X81">
        <v>4</v>
      </c>
      <c r="Y81">
        <v>6</v>
      </c>
      <c r="Z81">
        <v>7</v>
      </c>
      <c r="AA81">
        <v>8</v>
      </c>
      <c r="AB81" t="s">
        <v>0</v>
      </c>
      <c r="AC81" t="s">
        <v>33</v>
      </c>
      <c r="AD81" t="s">
        <v>83</v>
      </c>
      <c r="AE81" t="s">
        <v>84</v>
      </c>
      <c r="AF81" t="s">
        <v>85</v>
      </c>
      <c r="AG81" t="s">
        <v>49</v>
      </c>
      <c r="AH81" t="s">
        <v>86</v>
      </c>
      <c r="AI81" t="s">
        <v>20</v>
      </c>
      <c r="AJ81" t="s">
        <v>108</v>
      </c>
      <c r="AK81" t="s">
        <v>80</v>
      </c>
    </row>
    <row r="82" spans="3:37" ht="11.25">
      <c r="C82" s="242" t="s">
        <v>88</v>
      </c>
      <c r="D82" t="s">
        <v>168</v>
      </c>
      <c r="E82" t="s">
        <v>169</v>
      </c>
      <c r="F82" t="s">
        <v>149</v>
      </c>
      <c r="G82" t="s">
        <v>170</v>
      </c>
      <c r="H82" t="s">
        <v>176</v>
      </c>
      <c r="I82" t="s">
        <v>146</v>
      </c>
      <c r="J82" t="s">
        <v>145</v>
      </c>
      <c r="K82" t="s">
        <v>177</v>
      </c>
      <c r="L82" t="s">
        <v>143</v>
      </c>
      <c r="M82" t="s">
        <v>178</v>
      </c>
      <c r="N82" t="s">
        <v>179</v>
      </c>
      <c r="O82" t="s">
        <v>180</v>
      </c>
      <c r="P82" t="s">
        <v>181</v>
      </c>
      <c r="Q82" t="s">
        <v>182</v>
      </c>
      <c r="R82" t="s">
        <v>183</v>
      </c>
      <c r="S82" s="242" t="s">
        <v>13</v>
      </c>
      <c r="T82" s="242" t="s">
        <v>13</v>
      </c>
      <c r="U82">
        <v>1</v>
      </c>
      <c r="V82">
        <v>2</v>
      </c>
      <c r="W82">
        <v>3</v>
      </c>
      <c r="X82">
        <v>4</v>
      </c>
      <c r="Y82">
        <v>6</v>
      </c>
      <c r="Z82">
        <v>7</v>
      </c>
      <c r="AA82">
        <v>8</v>
      </c>
      <c r="AB82" t="s">
        <v>0</v>
      </c>
      <c r="AC82" t="s">
        <v>33</v>
      </c>
      <c r="AD82" t="s">
        <v>83</v>
      </c>
      <c r="AE82" t="s">
        <v>84</v>
      </c>
      <c r="AF82" t="s">
        <v>85</v>
      </c>
      <c r="AG82" t="s">
        <v>49</v>
      </c>
      <c r="AH82" t="s">
        <v>86</v>
      </c>
      <c r="AI82" t="s">
        <v>20</v>
      </c>
      <c r="AJ82" t="s">
        <v>20</v>
      </c>
      <c r="AK82" t="s">
        <v>20</v>
      </c>
    </row>
    <row r="83" spans="3:37" ht="11.25">
      <c r="C83" s="243" t="s">
        <v>71</v>
      </c>
      <c r="D83" t="s">
        <v>168</v>
      </c>
      <c r="E83" t="s">
        <v>169</v>
      </c>
      <c r="F83" t="s">
        <v>149</v>
      </c>
      <c r="G83" t="s">
        <v>170</v>
      </c>
      <c r="H83" t="s">
        <v>176</v>
      </c>
      <c r="I83" t="s">
        <v>146</v>
      </c>
      <c r="J83" t="s">
        <v>145</v>
      </c>
      <c r="K83" t="s">
        <v>177</v>
      </c>
      <c r="L83" t="s">
        <v>143</v>
      </c>
      <c r="M83" t="s">
        <v>178</v>
      </c>
      <c r="N83" t="s">
        <v>179</v>
      </c>
      <c r="O83" t="s">
        <v>180</v>
      </c>
      <c r="P83" t="s">
        <v>181</v>
      </c>
      <c r="Q83" t="s">
        <v>182</v>
      </c>
      <c r="R83" t="s">
        <v>183</v>
      </c>
      <c r="S83" s="242" t="s">
        <v>13</v>
      </c>
      <c r="T83" s="242" t="s">
        <v>13</v>
      </c>
      <c r="U83">
        <v>1</v>
      </c>
      <c r="V83">
        <v>2</v>
      </c>
      <c r="W83">
        <v>3</v>
      </c>
      <c r="X83">
        <v>4</v>
      </c>
      <c r="Y83">
        <v>6</v>
      </c>
      <c r="Z83">
        <v>7</v>
      </c>
      <c r="AA83">
        <v>8</v>
      </c>
      <c r="AB83" t="s">
        <v>0</v>
      </c>
      <c r="AC83" t="s">
        <v>33</v>
      </c>
      <c r="AD83" t="s">
        <v>83</v>
      </c>
      <c r="AE83" t="s">
        <v>84</v>
      </c>
      <c r="AF83" t="s">
        <v>85</v>
      </c>
      <c r="AG83" t="s">
        <v>49</v>
      </c>
      <c r="AH83" t="s">
        <v>86</v>
      </c>
      <c r="AI83" t="s">
        <v>20</v>
      </c>
      <c r="AJ83" t="s">
        <v>20</v>
      </c>
      <c r="AK83" t="s">
        <v>20</v>
      </c>
    </row>
  </sheetData>
  <sheetProtection password="DFED" sheet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E94"/>
  <sheetViews>
    <sheetView zoomScale="75" zoomScaleNormal="75"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7" sqref="C47"/>
    </sheetView>
  </sheetViews>
  <sheetFormatPr defaultColWidth="9.140625" defaultRowHeight="12"/>
  <cols>
    <col min="1" max="1" width="20.8515625" style="19" bestFit="1" customWidth="1"/>
    <col min="2" max="4" width="67.7109375" style="32" customWidth="1"/>
    <col min="5" max="16384" width="9.28125" style="19" customWidth="1"/>
  </cols>
  <sheetData>
    <row r="1" spans="1:4" ht="14.25">
      <c r="A1" s="46" t="s">
        <v>12</v>
      </c>
      <c r="B1" s="47">
        <f ca="1">TODAY()</f>
        <v>43160</v>
      </c>
      <c r="C1" s="47"/>
      <c r="D1" s="47"/>
    </row>
    <row r="2" spans="1:4" ht="14.25">
      <c r="A2" s="48"/>
      <c r="B2" s="36">
        <v>39630</v>
      </c>
      <c r="C2" s="36">
        <v>39870</v>
      </c>
      <c r="D2" s="36">
        <v>41934</v>
      </c>
    </row>
    <row r="3" spans="1:4" ht="14.25">
      <c r="A3" s="48" t="s">
        <v>1</v>
      </c>
      <c r="B3" s="241" t="s">
        <v>161</v>
      </c>
      <c r="C3" s="241" t="s">
        <v>161</v>
      </c>
      <c r="D3" s="241" t="s">
        <v>161</v>
      </c>
    </row>
    <row r="4" spans="1:4" ht="14.25">
      <c r="A4" s="48"/>
      <c r="B4" s="205" t="s">
        <v>107</v>
      </c>
      <c r="C4" s="205" t="s">
        <v>107</v>
      </c>
      <c r="D4" s="205" t="s">
        <v>107</v>
      </c>
    </row>
    <row r="5" spans="1:4" ht="14.25">
      <c r="A5" s="48"/>
      <c r="B5" s="39" t="s">
        <v>2</v>
      </c>
      <c r="C5" s="39" t="s">
        <v>2</v>
      </c>
      <c r="D5" s="39" t="s">
        <v>2</v>
      </c>
    </row>
    <row r="6" spans="1:4" ht="14.25">
      <c r="A6" s="48"/>
      <c r="B6" s="40">
        <v>1</v>
      </c>
      <c r="C6" s="40">
        <v>1</v>
      </c>
      <c r="D6" s="40">
        <v>1</v>
      </c>
    </row>
    <row r="7" spans="1:4" ht="14.25">
      <c r="A7" s="48"/>
      <c r="B7" s="41">
        <v>2</v>
      </c>
      <c r="C7" s="41">
        <v>2</v>
      </c>
      <c r="D7" s="41">
        <v>2</v>
      </c>
    </row>
    <row r="8" spans="1:4" ht="14.25">
      <c r="A8" s="48"/>
      <c r="B8" s="41">
        <v>3</v>
      </c>
      <c r="C8" s="41">
        <v>3</v>
      </c>
      <c r="D8" s="41">
        <v>3</v>
      </c>
    </row>
    <row r="9" spans="1:4" ht="14.25">
      <c r="A9" s="48" t="s">
        <v>3</v>
      </c>
      <c r="B9" s="37" t="s">
        <v>64</v>
      </c>
      <c r="C9" s="37" t="s">
        <v>64</v>
      </c>
      <c r="D9" s="37" t="s">
        <v>64</v>
      </c>
    </row>
    <row r="10" spans="1:4" ht="14.25">
      <c r="A10" s="48"/>
      <c r="B10" s="39" t="s">
        <v>42</v>
      </c>
      <c r="C10" s="39" t="s">
        <v>42</v>
      </c>
      <c r="D10" s="39" t="s">
        <v>42</v>
      </c>
    </row>
    <row r="11" spans="1:4" ht="14.25">
      <c r="A11" s="48"/>
      <c r="B11" s="41" t="s">
        <v>17</v>
      </c>
      <c r="C11" s="41" t="s">
        <v>17</v>
      </c>
      <c r="D11" s="41" t="s">
        <v>17</v>
      </c>
    </row>
    <row r="12" spans="1:4" ht="14.25">
      <c r="A12" s="48"/>
      <c r="B12" s="42" t="s">
        <v>65</v>
      </c>
      <c r="C12" s="42" t="s">
        <v>65</v>
      </c>
      <c r="D12" s="42" t="s">
        <v>65</v>
      </c>
    </row>
    <row r="13" spans="1:4" ht="14.25">
      <c r="A13" s="48" t="s">
        <v>4</v>
      </c>
      <c r="B13" s="38" t="s">
        <v>78</v>
      </c>
      <c r="C13" s="38" t="s">
        <v>78</v>
      </c>
      <c r="D13" s="38" t="s">
        <v>78</v>
      </c>
    </row>
    <row r="14" spans="1:4" ht="14.25">
      <c r="A14" s="48"/>
      <c r="B14" s="43" t="s">
        <v>29</v>
      </c>
      <c r="C14" s="43" t="s">
        <v>29</v>
      </c>
      <c r="D14" s="43" t="s">
        <v>29</v>
      </c>
    </row>
    <row r="15" spans="1:4" ht="14.25">
      <c r="A15" s="48"/>
      <c r="B15" s="43" t="s">
        <v>30</v>
      </c>
      <c r="C15" s="43" t="s">
        <v>30</v>
      </c>
      <c r="D15" s="43" t="s">
        <v>30</v>
      </c>
    </row>
    <row r="16" spans="1:4" ht="14.25">
      <c r="A16" s="48"/>
      <c r="B16" s="43" t="s">
        <v>32</v>
      </c>
      <c r="C16" s="43" t="s">
        <v>32</v>
      </c>
      <c r="D16" s="43" t="s">
        <v>32</v>
      </c>
    </row>
    <row r="17" spans="1:4" ht="14.25">
      <c r="A17" s="48"/>
      <c r="B17" s="43" t="s">
        <v>72</v>
      </c>
      <c r="C17" s="43" t="s">
        <v>72</v>
      </c>
      <c r="D17" s="43" t="s">
        <v>72</v>
      </c>
    </row>
    <row r="18" spans="1:4" ht="14.25">
      <c r="A18" s="48"/>
      <c r="B18" s="43" t="s">
        <v>73</v>
      </c>
      <c r="C18" s="43" t="s">
        <v>73</v>
      </c>
      <c r="D18" s="43" t="s">
        <v>73</v>
      </c>
    </row>
    <row r="19" spans="1:4" ht="14.25">
      <c r="A19" s="48"/>
      <c r="B19" s="43" t="s">
        <v>74</v>
      </c>
      <c r="C19" s="43" t="s">
        <v>74</v>
      </c>
      <c r="D19" s="43" t="s">
        <v>74</v>
      </c>
    </row>
    <row r="20" spans="1:4" ht="14.25">
      <c r="A20" s="48"/>
      <c r="B20" s="43" t="s">
        <v>76</v>
      </c>
      <c r="C20" s="43" t="s">
        <v>76</v>
      </c>
      <c r="D20" s="43" t="s">
        <v>76</v>
      </c>
    </row>
    <row r="21" spans="1:4" ht="14.25">
      <c r="A21" s="48"/>
      <c r="B21" s="43" t="s">
        <v>77</v>
      </c>
      <c r="C21" s="43" t="s">
        <v>77</v>
      </c>
      <c r="D21" s="43" t="s">
        <v>77</v>
      </c>
    </row>
    <row r="22" spans="1:4" ht="14.25">
      <c r="A22" s="48"/>
      <c r="B22" s="44" t="s">
        <v>75</v>
      </c>
      <c r="C22" s="44" t="s">
        <v>75</v>
      </c>
      <c r="D22" s="44" t="s">
        <v>75</v>
      </c>
    </row>
    <row r="23" spans="1:4" ht="14.25">
      <c r="A23" s="48"/>
      <c r="B23" s="40">
        <v>1</v>
      </c>
      <c r="C23" s="40">
        <v>1</v>
      </c>
      <c r="D23" s="40">
        <v>1</v>
      </c>
    </row>
    <row r="24" spans="1:4" ht="14.25">
      <c r="A24" s="48"/>
      <c r="B24" s="41">
        <v>2</v>
      </c>
      <c r="C24" s="41">
        <v>2</v>
      </c>
      <c r="D24" s="41">
        <v>2</v>
      </c>
    </row>
    <row r="25" spans="1:4" ht="14.25">
      <c r="A25" s="48"/>
      <c r="B25" s="41">
        <v>3</v>
      </c>
      <c r="C25" s="41">
        <v>3</v>
      </c>
      <c r="D25" s="41">
        <v>3</v>
      </c>
    </row>
    <row r="26" spans="1:4" ht="14.25">
      <c r="A26" s="48"/>
      <c r="B26" s="41">
        <v>4</v>
      </c>
      <c r="C26" s="41">
        <v>4</v>
      </c>
      <c r="D26" s="41">
        <v>4</v>
      </c>
    </row>
    <row r="27" spans="1:4" ht="14.25">
      <c r="A27" s="48"/>
      <c r="B27" s="41">
        <v>6</v>
      </c>
      <c r="C27" s="41">
        <v>6</v>
      </c>
      <c r="D27" s="41">
        <v>6</v>
      </c>
    </row>
    <row r="28" spans="1:4" ht="14.25">
      <c r="A28" s="48"/>
      <c r="B28" s="41">
        <v>7</v>
      </c>
      <c r="C28" s="41">
        <v>7</v>
      </c>
      <c r="D28" s="41">
        <v>7</v>
      </c>
    </row>
    <row r="29" spans="1:4" ht="14.25">
      <c r="A29" s="48"/>
      <c r="B29" s="41">
        <v>8</v>
      </c>
      <c r="C29" s="41">
        <v>8</v>
      </c>
      <c r="D29" s="41">
        <v>8</v>
      </c>
    </row>
    <row r="30" spans="1:4" ht="14.25">
      <c r="A30" s="48"/>
      <c r="B30" s="38" t="s">
        <v>0</v>
      </c>
      <c r="C30" s="38" t="s">
        <v>0</v>
      </c>
      <c r="D30" s="38" t="s">
        <v>0</v>
      </c>
    </row>
    <row r="31" spans="1:4" ht="14.25">
      <c r="A31" s="48"/>
      <c r="B31" s="38" t="s">
        <v>33</v>
      </c>
      <c r="C31" s="38" t="s">
        <v>33</v>
      </c>
      <c r="D31" s="38" t="s">
        <v>33</v>
      </c>
    </row>
    <row r="32" spans="1:4" ht="14.25">
      <c r="A32" s="48"/>
      <c r="B32" s="38" t="s">
        <v>31</v>
      </c>
      <c r="C32" s="38" t="s">
        <v>31</v>
      </c>
      <c r="D32" s="38" t="s">
        <v>31</v>
      </c>
    </row>
    <row r="33" spans="1:4" ht="14.25">
      <c r="A33" s="49" t="s">
        <v>5</v>
      </c>
      <c r="B33" s="60"/>
      <c r="C33" s="33"/>
      <c r="D33" s="33"/>
    </row>
    <row r="34" spans="1:4" ht="14.25">
      <c r="A34" s="49"/>
      <c r="B34" s="43"/>
      <c r="C34" s="34"/>
      <c r="D34" s="34"/>
    </row>
    <row r="35" spans="1:4" ht="14.25">
      <c r="A35" s="49"/>
      <c r="B35" s="43"/>
      <c r="C35" s="34"/>
      <c r="D35" s="34"/>
    </row>
    <row r="36" spans="1:4" ht="14.25">
      <c r="A36" s="49"/>
      <c r="B36" s="43"/>
      <c r="C36" s="34"/>
      <c r="D36" s="34"/>
    </row>
    <row r="37" spans="1:4" ht="14.25">
      <c r="A37" s="48"/>
      <c r="B37" s="43"/>
      <c r="C37" s="34"/>
      <c r="D37" s="34"/>
    </row>
    <row r="38" spans="1:4" ht="14.25">
      <c r="A38" s="48"/>
      <c r="B38" s="38"/>
      <c r="C38" s="58"/>
      <c r="D38" s="58"/>
    </row>
    <row r="39" spans="1:4" ht="14.25">
      <c r="A39" s="48"/>
      <c r="B39" s="38"/>
      <c r="C39" s="58"/>
      <c r="D39" s="58"/>
    </row>
    <row r="40" spans="1:4" ht="14.25">
      <c r="A40" s="48"/>
      <c r="B40" s="38"/>
      <c r="C40" s="58"/>
      <c r="D40" s="58"/>
    </row>
    <row r="41" spans="1:4" ht="14.25">
      <c r="A41" s="48"/>
      <c r="B41" s="38"/>
      <c r="C41" s="58"/>
      <c r="D41" s="58"/>
    </row>
    <row r="42" spans="1:4" ht="14.25">
      <c r="A42" s="48"/>
      <c r="B42" s="39"/>
      <c r="C42" s="59"/>
      <c r="D42" s="59"/>
    </row>
    <row r="43" spans="1:4" ht="14.25">
      <c r="A43" s="48" t="s">
        <v>6</v>
      </c>
      <c r="B43" s="38" t="s">
        <v>35</v>
      </c>
      <c r="C43" s="38" t="s">
        <v>35</v>
      </c>
      <c r="D43" s="38" t="s">
        <v>35</v>
      </c>
    </row>
    <row r="44" spans="1:4" ht="14.25">
      <c r="A44" s="48"/>
      <c r="B44" s="38" t="s">
        <v>36</v>
      </c>
      <c r="C44" s="38" t="s">
        <v>36</v>
      </c>
      <c r="D44" s="38" t="s">
        <v>36</v>
      </c>
    </row>
    <row r="45" spans="1:4" ht="14.25">
      <c r="A45" s="48"/>
      <c r="B45" s="38" t="s">
        <v>37</v>
      </c>
      <c r="C45" s="38" t="s">
        <v>37</v>
      </c>
      <c r="D45" s="38" t="s">
        <v>37</v>
      </c>
    </row>
    <row r="46" spans="1:4" ht="14.25">
      <c r="A46" s="48"/>
      <c r="B46" s="38" t="s">
        <v>38</v>
      </c>
      <c r="C46" s="38" t="s">
        <v>38</v>
      </c>
      <c r="D46" s="38" t="s">
        <v>38</v>
      </c>
    </row>
    <row r="47" spans="1:4" ht="14.25">
      <c r="A47" s="48"/>
      <c r="B47" s="38" t="s">
        <v>61</v>
      </c>
      <c r="C47" s="38" t="s">
        <v>196</v>
      </c>
      <c r="D47" s="38" t="s">
        <v>194</v>
      </c>
    </row>
    <row r="48" spans="1:4" ht="14.25">
      <c r="A48" s="48"/>
      <c r="B48" s="38" t="s">
        <v>60</v>
      </c>
      <c r="C48" s="38" t="s">
        <v>197</v>
      </c>
      <c r="D48" s="38" t="s">
        <v>13</v>
      </c>
    </row>
    <row r="49" spans="1:4" ht="14.25">
      <c r="A49" s="48"/>
      <c r="B49" s="40">
        <v>1</v>
      </c>
      <c r="C49" s="40">
        <v>1</v>
      </c>
      <c r="D49" s="40">
        <v>1</v>
      </c>
    </row>
    <row r="50" spans="1:4" ht="14.25">
      <c r="A50" s="48"/>
      <c r="B50" s="41">
        <v>2</v>
      </c>
      <c r="C50" s="41">
        <v>2</v>
      </c>
      <c r="D50" s="41">
        <v>2</v>
      </c>
    </row>
    <row r="51" spans="1:4" ht="14.25">
      <c r="A51" s="48"/>
      <c r="B51" s="41">
        <v>3</v>
      </c>
      <c r="C51" s="41">
        <v>3</v>
      </c>
      <c r="D51" s="41">
        <v>3</v>
      </c>
    </row>
    <row r="52" spans="1:4" ht="14.25">
      <c r="A52" s="48"/>
      <c r="B52" s="41">
        <v>4</v>
      </c>
      <c r="C52" s="41">
        <v>4</v>
      </c>
      <c r="D52" s="41">
        <v>4</v>
      </c>
    </row>
    <row r="53" spans="1:4" ht="14.25">
      <c r="A53" s="48"/>
      <c r="B53" s="41">
        <v>6</v>
      </c>
      <c r="C53" s="41">
        <v>6</v>
      </c>
      <c r="D53" s="41">
        <v>9</v>
      </c>
    </row>
    <row r="54" spans="1:4" ht="14.25">
      <c r="A54" s="48"/>
      <c r="B54" s="42">
        <v>7</v>
      </c>
      <c r="C54" s="42">
        <v>8</v>
      </c>
      <c r="D54" s="42">
        <v>9</v>
      </c>
    </row>
    <row r="55" spans="1:4" ht="14.25">
      <c r="A55" s="48" t="s">
        <v>7</v>
      </c>
      <c r="B55" s="37" t="s">
        <v>39</v>
      </c>
      <c r="C55" s="37" t="s">
        <v>39</v>
      </c>
      <c r="D55" s="37" t="s">
        <v>39</v>
      </c>
    </row>
    <row r="56" spans="1:4" ht="14.25">
      <c r="A56" s="48"/>
      <c r="B56" s="41" t="s">
        <v>79</v>
      </c>
      <c r="C56" s="41" t="s">
        <v>79</v>
      </c>
      <c r="D56" s="41" t="s">
        <v>79</v>
      </c>
    </row>
    <row r="57" spans="1:4" ht="14.25">
      <c r="A57" s="48"/>
      <c r="B57" s="37" t="s">
        <v>20</v>
      </c>
      <c r="C57" s="37" t="s">
        <v>20</v>
      </c>
      <c r="D57" s="37" t="s">
        <v>20</v>
      </c>
    </row>
    <row r="58" spans="1:4" ht="14.25">
      <c r="A58" s="48"/>
      <c r="B58" s="39" t="s">
        <v>80</v>
      </c>
      <c r="C58" s="39" t="s">
        <v>80</v>
      </c>
      <c r="D58" s="39" t="s">
        <v>80</v>
      </c>
    </row>
    <row r="59" spans="1:5" ht="14.25">
      <c r="A59" s="48" t="s">
        <v>8</v>
      </c>
      <c r="B59" s="45" t="s">
        <v>57</v>
      </c>
      <c r="C59" s="45" t="s">
        <v>57</v>
      </c>
      <c r="D59" s="45" t="s">
        <v>57</v>
      </c>
      <c r="E59" s="35"/>
    </row>
    <row r="60" spans="1:5" ht="14.25">
      <c r="A60" s="52"/>
      <c r="B60" s="50" t="s">
        <v>58</v>
      </c>
      <c r="C60" s="50" t="s">
        <v>58</v>
      </c>
      <c r="D60" s="50" t="s">
        <v>58</v>
      </c>
      <c r="E60" s="35"/>
    </row>
    <row r="61" spans="1:5" ht="14.25">
      <c r="A61" s="52"/>
      <c r="B61" s="51" t="s">
        <v>59</v>
      </c>
      <c r="C61" s="51" t="s">
        <v>59</v>
      </c>
      <c r="D61" s="51" t="s">
        <v>59</v>
      </c>
      <c r="E61" s="35"/>
    </row>
    <row r="62" spans="1:4" ht="14.25">
      <c r="A62" s="48"/>
      <c r="B62" s="40">
        <v>0</v>
      </c>
      <c r="C62" s="40">
        <v>0</v>
      </c>
      <c r="D62" s="40">
        <v>0</v>
      </c>
    </row>
    <row r="63" spans="1:4" ht="14.25">
      <c r="A63" s="48"/>
      <c r="B63" s="41">
        <v>5</v>
      </c>
      <c r="C63" s="41">
        <v>5</v>
      </c>
      <c r="D63" s="41">
        <v>5</v>
      </c>
    </row>
    <row r="64" spans="1:4" ht="14.25">
      <c r="A64" s="48"/>
      <c r="B64" s="39" t="s">
        <v>31</v>
      </c>
      <c r="C64" s="39" t="s">
        <v>31</v>
      </c>
      <c r="D64" s="39" t="s">
        <v>31</v>
      </c>
    </row>
    <row r="65" spans="1:4" ht="14.25">
      <c r="A65" s="48" t="s">
        <v>14</v>
      </c>
      <c r="B65" s="40" t="s">
        <v>71</v>
      </c>
      <c r="C65" s="40" t="s">
        <v>71</v>
      </c>
      <c r="D65" s="40" t="s">
        <v>71</v>
      </c>
    </row>
    <row r="66" spans="1:4" ht="14.25">
      <c r="A66" s="48"/>
      <c r="B66" s="42" t="s">
        <v>56</v>
      </c>
      <c r="C66" s="42" t="s">
        <v>13</v>
      </c>
      <c r="D66" s="42" t="s">
        <v>13</v>
      </c>
    </row>
    <row r="67" spans="1:4" ht="14.25">
      <c r="A67" s="48"/>
      <c r="B67" s="40" t="s">
        <v>71</v>
      </c>
      <c r="C67" s="40" t="s">
        <v>71</v>
      </c>
      <c r="D67" s="40" t="s">
        <v>71</v>
      </c>
    </row>
    <row r="68" spans="1:4" ht="14.25">
      <c r="A68" s="48"/>
      <c r="B68" s="42" t="s">
        <v>56</v>
      </c>
      <c r="C68" s="42" t="s">
        <v>71</v>
      </c>
      <c r="D68" s="42" t="s">
        <v>71</v>
      </c>
    </row>
    <row r="69" spans="1:4" ht="14.25">
      <c r="A69" s="48" t="s">
        <v>15</v>
      </c>
      <c r="B69" s="37" t="s">
        <v>16</v>
      </c>
      <c r="C69" s="37" t="s">
        <v>16</v>
      </c>
      <c r="D69" s="37" t="s">
        <v>16</v>
      </c>
    </row>
    <row r="70" spans="1:4" ht="14.25">
      <c r="A70" s="48"/>
      <c r="B70" s="39" t="s">
        <v>55</v>
      </c>
      <c r="C70" s="39" t="s">
        <v>55</v>
      </c>
      <c r="D70" s="39" t="s">
        <v>55</v>
      </c>
    </row>
    <row r="71" spans="1:4" ht="14.25">
      <c r="A71" s="48"/>
      <c r="B71" s="40">
        <v>8</v>
      </c>
      <c r="C71" s="40">
        <v>8</v>
      </c>
      <c r="D71" s="40">
        <v>8</v>
      </c>
    </row>
    <row r="72" spans="1:4" ht="14.25">
      <c r="A72" s="48"/>
      <c r="B72" s="41">
        <v>9</v>
      </c>
      <c r="C72" s="41">
        <v>9</v>
      </c>
      <c r="D72" s="41">
        <v>9</v>
      </c>
    </row>
    <row r="73" spans="1:4" ht="14.25">
      <c r="A73" s="48" t="s">
        <v>9</v>
      </c>
      <c r="B73" s="31" t="s">
        <v>62</v>
      </c>
      <c r="C73" s="31" t="s">
        <v>62</v>
      </c>
      <c r="D73" s="31" t="s">
        <v>62</v>
      </c>
    </row>
    <row r="74" spans="2:4" ht="14.25">
      <c r="B74" s="39" t="s">
        <v>49</v>
      </c>
      <c r="C74" s="39" t="s">
        <v>49</v>
      </c>
      <c r="D74" s="39" t="s">
        <v>49</v>
      </c>
    </row>
    <row r="75" spans="1:4" ht="14.25">
      <c r="A75" s="49" t="s">
        <v>5</v>
      </c>
      <c r="B75" s="33" t="s">
        <v>43</v>
      </c>
      <c r="C75" s="33" t="s">
        <v>43</v>
      </c>
      <c r="D75" s="33" t="s">
        <v>43</v>
      </c>
    </row>
    <row r="76" spans="1:4" ht="14.25">
      <c r="A76" s="49"/>
      <c r="B76" s="34" t="s">
        <v>45</v>
      </c>
      <c r="C76" s="34" t="s">
        <v>45</v>
      </c>
      <c r="D76" s="34" t="s">
        <v>45</v>
      </c>
    </row>
    <row r="77" spans="1:4" ht="14.25">
      <c r="A77" s="49"/>
      <c r="B77" s="34" t="s">
        <v>44</v>
      </c>
      <c r="C77" s="34" t="s">
        <v>44</v>
      </c>
      <c r="D77" s="34" t="s">
        <v>44</v>
      </c>
    </row>
    <row r="78" spans="1:4" ht="14.25">
      <c r="A78" s="49"/>
      <c r="B78" s="34" t="s">
        <v>46</v>
      </c>
      <c r="C78" s="34" t="s">
        <v>46</v>
      </c>
      <c r="D78" s="34" t="s">
        <v>46</v>
      </c>
    </row>
    <row r="79" spans="1:4" ht="14.25">
      <c r="A79" s="48"/>
      <c r="B79" s="43" t="s">
        <v>47</v>
      </c>
      <c r="C79" s="43" t="s">
        <v>47</v>
      </c>
      <c r="D79" s="43" t="s">
        <v>47</v>
      </c>
    </row>
    <row r="80" spans="1:4" ht="14.25">
      <c r="A80" s="48"/>
      <c r="B80" s="53" t="s">
        <v>69</v>
      </c>
      <c r="C80" s="53" t="s">
        <v>68</v>
      </c>
      <c r="D80" s="53" t="s">
        <v>68</v>
      </c>
    </row>
    <row r="81" spans="1:4" ht="14.25">
      <c r="A81" s="48"/>
      <c r="B81" s="53" t="s">
        <v>69</v>
      </c>
      <c r="C81" s="53" t="s">
        <v>69</v>
      </c>
      <c r="D81" s="53" t="s">
        <v>69</v>
      </c>
    </row>
    <row r="82" spans="1:4" ht="14.25">
      <c r="A82" s="48"/>
      <c r="B82" s="53" t="s">
        <v>69</v>
      </c>
      <c r="C82" s="53" t="s">
        <v>69</v>
      </c>
      <c r="D82" s="53" t="s">
        <v>69</v>
      </c>
    </row>
    <row r="83" spans="1:4" ht="14.25">
      <c r="A83" s="48"/>
      <c r="B83" s="53" t="s">
        <v>69</v>
      </c>
      <c r="C83" s="53" t="s">
        <v>69</v>
      </c>
      <c r="D83" s="53" t="s">
        <v>69</v>
      </c>
    </row>
    <row r="84" spans="1:4" ht="14.25">
      <c r="A84" s="48"/>
      <c r="B84" s="57" t="s">
        <v>69</v>
      </c>
      <c r="C84" s="57" t="s">
        <v>69</v>
      </c>
      <c r="D84" s="57" t="s">
        <v>69</v>
      </c>
    </row>
    <row r="85" spans="1:4" ht="14.25">
      <c r="A85" s="48"/>
      <c r="B85" s="38" t="s">
        <v>0</v>
      </c>
      <c r="C85" s="38" t="s">
        <v>0</v>
      </c>
      <c r="D85" s="38" t="s">
        <v>0</v>
      </c>
    </row>
    <row r="86" spans="1:4" ht="14.25">
      <c r="A86" s="48"/>
      <c r="B86" s="38" t="s">
        <v>33</v>
      </c>
      <c r="C86" s="38" t="s">
        <v>33</v>
      </c>
      <c r="D86" s="38" t="s">
        <v>33</v>
      </c>
    </row>
    <row r="87" spans="1:4" ht="14.25">
      <c r="A87" s="48"/>
      <c r="B87" s="38" t="s">
        <v>31</v>
      </c>
      <c r="C87" s="38" t="s">
        <v>31</v>
      </c>
      <c r="D87" s="38" t="s">
        <v>31</v>
      </c>
    </row>
    <row r="88" spans="1:4" ht="14.25">
      <c r="A88" s="48"/>
      <c r="B88" s="38" t="s">
        <v>34</v>
      </c>
      <c r="C88" s="38" t="s">
        <v>34</v>
      </c>
      <c r="D88" s="38" t="s">
        <v>34</v>
      </c>
    </row>
    <row r="89" spans="1:4" ht="14.25">
      <c r="A89" s="48"/>
      <c r="B89" s="38" t="s">
        <v>48</v>
      </c>
      <c r="C89" s="38" t="s">
        <v>48</v>
      </c>
      <c r="D89" s="38" t="s">
        <v>48</v>
      </c>
    </row>
    <row r="90" spans="2:4" ht="14.25">
      <c r="B90" s="54" t="s">
        <v>48</v>
      </c>
      <c r="C90" s="54" t="s">
        <v>67</v>
      </c>
      <c r="D90" s="54" t="s">
        <v>67</v>
      </c>
    </row>
    <row r="91" spans="2:4" ht="14.25">
      <c r="B91" s="55" t="s">
        <v>69</v>
      </c>
      <c r="C91" s="55" t="s">
        <v>69</v>
      </c>
      <c r="D91" s="55" t="s">
        <v>69</v>
      </c>
    </row>
    <row r="92" spans="2:4" ht="14.25">
      <c r="B92" s="55" t="s">
        <v>69</v>
      </c>
      <c r="C92" s="55" t="s">
        <v>69</v>
      </c>
      <c r="D92" s="55" t="s">
        <v>69</v>
      </c>
    </row>
    <row r="93" spans="2:4" ht="14.25">
      <c r="B93" s="55" t="s">
        <v>69</v>
      </c>
      <c r="C93" s="55" t="s">
        <v>69</v>
      </c>
      <c r="D93" s="55" t="s">
        <v>69</v>
      </c>
    </row>
    <row r="94" spans="2:4" ht="14.25">
      <c r="B94" s="56" t="s">
        <v>69</v>
      </c>
      <c r="C94" s="56" t="s">
        <v>69</v>
      </c>
      <c r="D94" s="56" t="s">
        <v>69</v>
      </c>
    </row>
  </sheetData>
  <sheetProtection password="DFE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buntingc</dc:creator>
  <cp:keywords/>
  <dc:description/>
  <cp:lastModifiedBy>K</cp:lastModifiedBy>
  <cp:lastPrinted>2013-07-09T08:42:47Z</cp:lastPrinted>
  <dcterms:created xsi:type="dcterms:W3CDTF">2003-11-05T10:56:04Z</dcterms:created>
  <dcterms:modified xsi:type="dcterms:W3CDTF">2018-03-01T06:11:11Z</dcterms:modified>
  <cp:category/>
  <cp:version/>
  <cp:contentType/>
  <cp:contentStatus/>
</cp:coreProperties>
</file>